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G:\Policy\GAINS\"/>
    </mc:Choice>
  </mc:AlternateContent>
  <xr:revisionPtr revIDLastSave="0" documentId="13_ncr:1_{B23ABCE9-9596-4116-9E24-C87B9B35E319}" xr6:coauthVersionLast="47" xr6:coauthVersionMax="47" xr10:uidLastSave="{00000000-0000-0000-0000-000000000000}"/>
  <bookViews>
    <workbookView xWindow="-110" yWindow="-110" windowWidth="19420" windowHeight="10420" tabRatio="893" activeTab="1" xr2:uid="{00000000-000D-0000-FFFF-FFFF00000000}"/>
  </bookViews>
  <sheets>
    <sheet name="ABOUT" sheetId="14" r:id="rId1"/>
    <sheet name="Dashboard" sheetId="44" r:id="rId2"/>
    <sheet name="Calculation" sheetId="42" r:id="rId3"/>
    <sheet name="Health and Mental Health" sheetId="23" r:id="rId4"/>
    <sheet name="MARAC" sheetId="25" r:id="rId5"/>
    <sheet name="Housing" sheetId="27" r:id="rId6"/>
    <sheet name="Policing and Criminal Justice " sheetId="28" r:id="rId7"/>
    <sheet name="Children" sheetId="32" r:id="rId8"/>
    <sheet name="References " sheetId="50" r:id="rId9"/>
    <sheet name="Inflation" sheetId="48" r:id="rId10"/>
  </sheets>
  <externalReferences>
    <externalReference r:id="rId11"/>
  </externalReferences>
  <definedNames>
    <definedName name="DaysinYear">[1]Inputs!$D$12</definedName>
    <definedName name="EIR" localSheetId="9">#REF!</definedName>
    <definedName name="EIR">#REF!</definedName>
    <definedName name="Zerocell" localSheetId="9">#REF!</definedName>
    <definedName name="Zeroce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44" l="1"/>
  <c r="E41" i="44"/>
  <c r="B45" i="44"/>
  <c r="B48" i="44"/>
  <c r="D28" i="42" l="1"/>
  <c r="F8" i="28"/>
  <c r="F7" i="28"/>
  <c r="D24" i="42" l="1"/>
  <c r="G24" i="42"/>
  <c r="H24" i="42"/>
  <c r="I24" i="42"/>
  <c r="D25" i="42"/>
  <c r="E25" i="42"/>
  <c r="F25" i="42"/>
  <c r="G25" i="42"/>
  <c r="H25" i="42"/>
  <c r="I25" i="42"/>
  <c r="D3" i="25" l="1"/>
  <c r="N12" i="44"/>
  <c r="Z3" i="42" l="1"/>
  <c r="Q4" i="48"/>
  <c r="Q5" i="48"/>
  <c r="Q6" i="48"/>
  <c r="R6" i="48"/>
  <c r="S6" i="48" s="1"/>
  <c r="R7" i="48"/>
  <c r="H11" i="48" l="1"/>
  <c r="H12" i="48" s="1"/>
  <c r="G9" i="48"/>
  <c r="G10" i="48" s="1"/>
  <c r="G11" i="48" s="1"/>
  <c r="G12" i="48" s="1"/>
  <c r="C9" i="44"/>
  <c r="D3" i="42" s="1"/>
  <c r="C7" i="44"/>
  <c r="C42" i="44" s="1"/>
  <c r="F2" i="32"/>
  <c r="E2" i="32"/>
  <c r="D2" i="32"/>
  <c r="C2" i="32"/>
  <c r="D2" i="28"/>
  <c r="C2" i="28"/>
  <c r="C2" i="27"/>
  <c r="A31" i="48"/>
  <c r="A30" i="48" s="1"/>
  <c r="A29" i="48" s="1"/>
  <c r="A28" i="48" s="1"/>
  <c r="A27" i="48" s="1"/>
  <c r="A26" i="48" s="1"/>
  <c r="A25" i="48" s="1"/>
  <c r="A24" i="48" s="1"/>
  <c r="D2" i="27"/>
  <c r="G39" i="48"/>
  <c r="J3" i="23" s="1"/>
  <c r="E5" i="23"/>
  <c r="C10" i="44" l="1"/>
  <c r="X5" i="42" s="1"/>
  <c r="O5" i="42"/>
  <c r="O3" i="42"/>
  <c r="J3" i="42"/>
  <c r="G9" i="32"/>
  <c r="F4" i="28"/>
  <c r="F3" i="28"/>
  <c r="D23" i="42" s="1"/>
  <c r="F6" i="28"/>
  <c r="D26" i="42" s="1"/>
  <c r="G6" i="32"/>
  <c r="D32" i="42" s="1"/>
  <c r="F5" i="28"/>
  <c r="F4" i="27"/>
  <c r="D22" i="42" s="1"/>
  <c r="F3" i="27"/>
  <c r="D21" i="42" s="1"/>
  <c r="G4" i="32"/>
  <c r="D30" i="42" s="1"/>
  <c r="G3" i="32"/>
  <c r="D29" i="42" s="1"/>
  <c r="G10" i="32"/>
  <c r="D35" i="42" s="1"/>
  <c r="I10" i="23"/>
  <c r="F9" i="23"/>
  <c r="H9" i="23"/>
  <c r="H11" i="23"/>
  <c r="H13" i="23"/>
  <c r="H12" i="23"/>
  <c r="I14" i="23"/>
  <c r="H14" i="23"/>
  <c r="I15" i="23"/>
  <c r="H7" i="23"/>
  <c r="F6" i="23"/>
  <c r="I4" i="23"/>
  <c r="D3" i="27"/>
  <c r="E3" i="27"/>
  <c r="D8" i="32"/>
  <c r="E7" i="32"/>
  <c r="E8" i="32" s="1"/>
  <c r="D7" i="32"/>
  <c r="G7" i="32" s="1"/>
  <c r="D33" i="42" s="1"/>
  <c r="D6" i="32"/>
  <c r="D4" i="32"/>
  <c r="C7" i="28"/>
  <c r="E6" i="28"/>
  <c r="C4" i="23"/>
  <c r="C5" i="32"/>
  <c r="G5" i="32" s="1"/>
  <c r="D31" i="42" s="1"/>
  <c r="B13" i="44"/>
  <c r="E34" i="48"/>
  <c r="F34" i="48" s="1"/>
  <c r="E35" i="48"/>
  <c r="E36" i="48"/>
  <c r="E37" i="48"/>
  <c r="E38" i="48"/>
  <c r="E39" i="48"/>
  <c r="E33" i="48"/>
  <c r="A33" i="48"/>
  <c r="A34" i="48" s="1"/>
  <c r="A35" i="48" s="1"/>
  <c r="A36" i="48" s="1"/>
  <c r="A37" i="48" s="1"/>
  <c r="A38" i="48" s="1"/>
  <c r="A39" i="48" s="1"/>
  <c r="J5" i="23"/>
  <c r="E4" i="48"/>
  <c r="E5" i="48"/>
  <c r="E6" i="48"/>
  <c r="F8" i="48"/>
  <c r="F9" i="48" s="1"/>
  <c r="F10" i="48" s="1"/>
  <c r="F11" i="48" s="1"/>
  <c r="F12" i="48" s="1"/>
  <c r="A14" i="48"/>
  <c r="E20" i="48"/>
  <c r="H3" i="23" s="1"/>
  <c r="E19" i="48"/>
  <c r="E18" i="48"/>
  <c r="J18" i="48" s="1"/>
  <c r="E17" i="48"/>
  <c r="E16" i="48"/>
  <c r="I16" i="48" s="1"/>
  <c r="E15" i="48"/>
  <c r="H15" i="48" s="1"/>
  <c r="E14" i="48"/>
  <c r="B15" i="44"/>
  <c r="B16" i="44"/>
  <c r="E33" i="44"/>
  <c r="E32" i="44"/>
  <c r="K11" i="44"/>
  <c r="K10" i="44"/>
  <c r="K9" i="44"/>
  <c r="K8" i="44"/>
  <c r="P6" i="42"/>
  <c r="X6" i="42" s="1"/>
  <c r="F29" i="44"/>
  <c r="E29" i="44"/>
  <c r="H24" i="44"/>
  <c r="H21" i="44"/>
  <c r="E28" i="44"/>
  <c r="E27" i="44"/>
  <c r="H20" i="44"/>
  <c r="B21" i="44"/>
  <c r="D27" i="42"/>
  <c r="G8" i="32" l="1"/>
  <c r="D34" i="42" s="1"/>
  <c r="J34" i="42" s="1"/>
  <c r="J24" i="42"/>
  <c r="J25" i="42"/>
  <c r="J33" i="42"/>
  <c r="M3" i="42"/>
  <c r="L3" i="42"/>
  <c r="N3" i="42"/>
  <c r="K3" i="42"/>
  <c r="K20" i="48"/>
  <c r="H16" i="48"/>
  <c r="H17" i="48" s="1"/>
  <c r="H18" i="48" s="1"/>
  <c r="H19" i="48" s="1"/>
  <c r="H20" i="48" s="1"/>
  <c r="D3" i="23" s="1"/>
  <c r="J35" i="42"/>
  <c r="J27" i="42"/>
  <c r="J22" i="42"/>
  <c r="J26" i="42"/>
  <c r="J28" i="42"/>
  <c r="J23" i="42"/>
  <c r="J32" i="42"/>
  <c r="J31" i="42"/>
  <c r="J30" i="42"/>
  <c r="J21" i="42"/>
  <c r="J29" i="42"/>
  <c r="F27" i="44"/>
  <c r="I17" i="48"/>
  <c r="I18" i="48" s="1"/>
  <c r="I19" i="48" s="1"/>
  <c r="I20" i="48" s="1"/>
  <c r="F15" i="48"/>
  <c r="F16" i="48" s="1"/>
  <c r="F17" i="48" s="1"/>
  <c r="F18" i="48" s="1"/>
  <c r="F19" i="48" s="1"/>
  <c r="F20" i="48" s="1"/>
  <c r="C2" i="25" s="1"/>
  <c r="D20" i="42" s="1"/>
  <c r="G3" i="23"/>
  <c r="G15" i="48"/>
  <c r="G16" i="48" s="1"/>
  <c r="G17" i="48" s="1"/>
  <c r="G18" i="48" s="1"/>
  <c r="G19" i="48" s="1"/>
  <c r="G20" i="48" s="1"/>
  <c r="C3" i="23" s="1"/>
  <c r="F35" i="48"/>
  <c r="F36" i="48" s="1"/>
  <c r="F37" i="48" s="1"/>
  <c r="F38" i="48" s="1"/>
  <c r="F39" i="48" s="1"/>
  <c r="J19" i="48"/>
  <c r="J20" i="48" s="1"/>
  <c r="F3" i="23" s="1"/>
  <c r="K25" i="42" l="1"/>
  <c r="K24" i="42"/>
  <c r="N24" i="42"/>
  <c r="N25" i="42"/>
  <c r="L29" i="42"/>
  <c r="L24" i="42"/>
  <c r="L25" i="42"/>
  <c r="M29" i="42"/>
  <c r="M25" i="42"/>
  <c r="M24" i="42"/>
  <c r="K35" i="42"/>
  <c r="K27" i="42"/>
  <c r="K30" i="42"/>
  <c r="K21" i="42"/>
  <c r="K22" i="42"/>
  <c r="M33" i="42"/>
  <c r="M34" i="42"/>
  <c r="M31" i="42"/>
  <c r="M21" i="42"/>
  <c r="M32" i="42"/>
  <c r="N26" i="42"/>
  <c r="L33" i="42"/>
  <c r="K32" i="42"/>
  <c r="K33" i="42"/>
  <c r="N34" i="42"/>
  <c r="N22" i="42"/>
  <c r="N33" i="42"/>
  <c r="N32" i="42"/>
  <c r="N21" i="42"/>
  <c r="N30" i="42"/>
  <c r="N31" i="42"/>
  <c r="L35" i="42"/>
  <c r="L30" i="42"/>
  <c r="L28" i="42"/>
  <c r="M35" i="42"/>
  <c r="M22" i="42"/>
  <c r="L22" i="42"/>
  <c r="L27" i="42"/>
  <c r="L21" i="42"/>
  <c r="L23" i="42"/>
  <c r="L31" i="42"/>
  <c r="L20" i="42"/>
  <c r="L34" i="42"/>
  <c r="M26" i="42"/>
  <c r="L32" i="42"/>
  <c r="M23" i="42"/>
  <c r="K26" i="42"/>
  <c r="K34" i="42"/>
  <c r="K31" i="42"/>
  <c r="M30" i="42"/>
  <c r="K29" i="42"/>
  <c r="K23" i="42"/>
  <c r="K28" i="42"/>
  <c r="N27" i="42"/>
  <c r="N28" i="42"/>
  <c r="N23" i="42"/>
  <c r="N29" i="42"/>
  <c r="M27" i="42"/>
  <c r="M28" i="42"/>
  <c r="L26" i="42"/>
  <c r="N35" i="42"/>
  <c r="C21" i="44"/>
  <c r="I24" i="44"/>
  <c r="C14" i="44"/>
  <c r="J20" i="42"/>
  <c r="M20" i="42"/>
  <c r="N20" i="42"/>
  <c r="K20" i="42"/>
  <c r="E3" i="23"/>
  <c r="O25" i="42" l="1"/>
  <c r="W25" i="42" s="1"/>
  <c r="O24" i="42"/>
  <c r="Q24" i="42" s="1"/>
  <c r="O29" i="42"/>
  <c r="U29" i="42" s="1"/>
  <c r="O30" i="42"/>
  <c r="Q30" i="42" s="1"/>
  <c r="O31" i="42"/>
  <c r="Q31" i="42" s="1"/>
  <c r="O32" i="42"/>
  <c r="U32" i="42" s="1"/>
  <c r="O33" i="42"/>
  <c r="Q33" i="42" s="1"/>
  <c r="O34" i="42"/>
  <c r="U34" i="42" s="1"/>
  <c r="O21" i="42"/>
  <c r="O22" i="42"/>
  <c r="O26" i="42"/>
  <c r="Q26" i="42" s="1"/>
  <c r="O27" i="42"/>
  <c r="S27" i="42" s="1"/>
  <c r="O28" i="42"/>
  <c r="W28" i="42" s="1"/>
  <c r="O35" i="42"/>
  <c r="Q35" i="42" s="1"/>
  <c r="O23" i="42"/>
  <c r="X23" i="42" s="1"/>
  <c r="K16" i="23"/>
  <c r="D19" i="42" s="1"/>
  <c r="K19" i="42" s="1"/>
  <c r="K11" i="23"/>
  <c r="D15" i="42" s="1"/>
  <c r="J15" i="42" s="1"/>
  <c r="K15" i="23"/>
  <c r="D18" i="42" s="1"/>
  <c r="J18" i="42" s="1"/>
  <c r="O20" i="42"/>
  <c r="K5" i="23"/>
  <c r="D9" i="42" s="1"/>
  <c r="K6" i="23"/>
  <c r="D10" i="42" s="1"/>
  <c r="K8" i="23"/>
  <c r="D12" i="42" s="1"/>
  <c r="K9" i="23"/>
  <c r="D13" i="42" s="1"/>
  <c r="K13" i="23"/>
  <c r="K12" i="23"/>
  <c r="D16" i="42" s="1"/>
  <c r="K4" i="23"/>
  <c r="D8" i="42" s="1"/>
  <c r="K7" i="23"/>
  <c r="D11" i="42" s="1"/>
  <c r="K10" i="23"/>
  <c r="D14" i="42" s="1"/>
  <c r="K14" i="23"/>
  <c r="D17" i="42" s="1"/>
  <c r="N17" i="42" s="1"/>
  <c r="S25" i="42" l="1"/>
  <c r="X25" i="42"/>
  <c r="U25" i="42"/>
  <c r="Q25" i="42"/>
  <c r="X24" i="42"/>
  <c r="U24" i="42"/>
  <c r="W24" i="42"/>
  <c r="S24" i="42"/>
  <c r="X29" i="42"/>
  <c r="Q29" i="42"/>
  <c r="S29" i="42"/>
  <c r="W29" i="42"/>
  <c r="U22" i="42"/>
  <c r="S22" i="42"/>
  <c r="W21" i="42"/>
  <c r="S21" i="42"/>
  <c r="X20" i="42"/>
  <c r="S20" i="42"/>
  <c r="U21" i="42"/>
  <c r="Q34" i="42"/>
  <c r="U30" i="42"/>
  <c r="W30" i="42"/>
  <c r="S30" i="42"/>
  <c r="W31" i="42"/>
  <c r="X30" i="42"/>
  <c r="U31" i="42"/>
  <c r="S33" i="42"/>
  <c r="X31" i="42"/>
  <c r="S31" i="42"/>
  <c r="X33" i="42"/>
  <c r="X21" i="42"/>
  <c r="U27" i="42"/>
  <c r="X32" i="42"/>
  <c r="S32" i="42"/>
  <c r="W32" i="42"/>
  <c r="Q32" i="42"/>
  <c r="W34" i="42"/>
  <c r="X34" i="42"/>
  <c r="Q28" i="42"/>
  <c r="S34" i="42"/>
  <c r="W33" i="42"/>
  <c r="P21" i="42"/>
  <c r="L9" i="44" s="1"/>
  <c r="U33" i="42"/>
  <c r="W22" i="42"/>
  <c r="U28" i="42"/>
  <c r="X22" i="42"/>
  <c r="Q21" i="42"/>
  <c r="Q27" i="42"/>
  <c r="P29" i="42"/>
  <c r="L11" i="44" s="1"/>
  <c r="S26" i="42"/>
  <c r="S28" i="42"/>
  <c r="W26" i="42"/>
  <c r="X28" i="42"/>
  <c r="S35" i="42"/>
  <c r="Q22" i="42"/>
  <c r="U26" i="42"/>
  <c r="X26" i="42"/>
  <c r="W27" i="42"/>
  <c r="X27" i="42"/>
  <c r="S23" i="42"/>
  <c r="X35" i="42"/>
  <c r="U35" i="42"/>
  <c r="W35" i="42" s="1"/>
  <c r="Q23" i="42"/>
  <c r="U23" i="42"/>
  <c r="P23" i="42"/>
  <c r="L10" i="44" s="1"/>
  <c r="W23" i="42"/>
  <c r="N19" i="42"/>
  <c r="L19" i="42"/>
  <c r="J19" i="42"/>
  <c r="M19" i="42"/>
  <c r="K15" i="42"/>
  <c r="L15" i="42"/>
  <c r="N15" i="42"/>
  <c r="M15" i="42"/>
  <c r="K18" i="42"/>
  <c r="N18" i="42"/>
  <c r="L18" i="42"/>
  <c r="M18" i="42"/>
  <c r="P20" i="42"/>
  <c r="L8" i="44" s="1"/>
  <c r="U20" i="42"/>
  <c r="Q20" i="42"/>
  <c r="W20" i="42"/>
  <c r="N12" i="42"/>
  <c r="J12" i="42"/>
  <c r="M12" i="42"/>
  <c r="L12" i="42"/>
  <c r="K12" i="42"/>
  <c r="L9" i="42"/>
  <c r="J9" i="42"/>
  <c r="M9" i="42"/>
  <c r="N9" i="42"/>
  <c r="K9" i="42"/>
  <c r="L14" i="42"/>
  <c r="M14" i="42"/>
  <c r="K14" i="42"/>
  <c r="J14" i="42"/>
  <c r="N14" i="42"/>
  <c r="J10" i="42"/>
  <c r="L10" i="42"/>
  <c r="M10" i="42"/>
  <c r="K10" i="42"/>
  <c r="N10" i="42"/>
  <c r="M16" i="42"/>
  <c r="J16" i="42"/>
  <c r="L16" i="42"/>
  <c r="N16" i="42"/>
  <c r="K16" i="42"/>
  <c r="M11" i="42"/>
  <c r="N11" i="42"/>
  <c r="L11" i="42"/>
  <c r="K11" i="42"/>
  <c r="J11" i="42"/>
  <c r="K17" i="42"/>
  <c r="J17" i="42"/>
  <c r="L17" i="42"/>
  <c r="M17" i="42"/>
  <c r="M8" i="42"/>
  <c r="L8" i="42"/>
  <c r="N8" i="42"/>
  <c r="K8" i="42"/>
  <c r="J8" i="42"/>
  <c r="L13" i="42"/>
  <c r="K13" i="42"/>
  <c r="M13" i="42"/>
  <c r="N13" i="42"/>
  <c r="J13" i="42"/>
  <c r="Y25" i="42" l="1"/>
  <c r="Z25" i="42" s="1"/>
  <c r="Y24" i="42"/>
  <c r="Z24" i="42" s="1"/>
  <c r="Y29" i="42"/>
  <c r="Z29" i="42" s="1"/>
  <c r="Y21" i="42"/>
  <c r="Z21" i="42" s="1"/>
  <c r="Y30" i="42"/>
  <c r="Z30" i="42" s="1"/>
  <c r="Y34" i="42"/>
  <c r="Z34" i="42" s="1"/>
  <c r="Y33" i="42"/>
  <c r="Z33" i="42" s="1"/>
  <c r="Y31" i="42"/>
  <c r="Z31" i="42" s="1"/>
  <c r="Y32" i="42"/>
  <c r="Z32" i="42" s="1"/>
  <c r="Y22" i="42"/>
  <c r="Z22" i="42" s="1"/>
  <c r="Y28" i="42"/>
  <c r="Z28" i="42" s="1"/>
  <c r="Y27" i="42"/>
  <c r="Z27" i="42" s="1"/>
  <c r="Y35" i="42"/>
  <c r="Z35" i="42" s="1"/>
  <c r="Y23" i="42"/>
  <c r="Z23" i="42" s="1"/>
  <c r="Y26" i="42"/>
  <c r="Z26" i="42" s="1"/>
  <c r="O19" i="42"/>
  <c r="W19" i="42" s="1"/>
  <c r="O15" i="42"/>
  <c r="X15" i="42" s="1"/>
  <c r="O18" i="42"/>
  <c r="X18" i="42" s="1"/>
  <c r="Y20" i="42"/>
  <c r="Z20" i="42" s="1"/>
  <c r="O8" i="42"/>
  <c r="O10" i="42"/>
  <c r="Q10" i="42" s="1"/>
  <c r="O13" i="42"/>
  <c r="W13" i="42" s="1"/>
  <c r="O16" i="42"/>
  <c r="O14" i="42"/>
  <c r="O9" i="42"/>
  <c r="O11" i="42"/>
  <c r="O17" i="42"/>
  <c r="O12" i="42"/>
  <c r="AA20" i="42" l="1"/>
  <c r="M8" i="44" s="1"/>
  <c r="AA21" i="42"/>
  <c r="M9" i="44" s="1"/>
  <c r="AA29" i="42"/>
  <c r="M11" i="44" s="1"/>
  <c r="AA23" i="42"/>
  <c r="M10" i="44" s="1"/>
  <c r="U8" i="42"/>
  <c r="P8" i="42"/>
  <c r="Q8" i="42"/>
  <c r="X19" i="42"/>
  <c r="S19" i="42"/>
  <c r="Q19" i="42"/>
  <c r="U19" i="42"/>
  <c r="U15" i="42"/>
  <c r="S15" i="42"/>
  <c r="Q15" i="42"/>
  <c r="W15" i="42"/>
  <c r="S18" i="42"/>
  <c r="U18" i="42"/>
  <c r="U13" i="42"/>
  <c r="Q13" i="42"/>
  <c r="Q18" i="42"/>
  <c r="W18" i="42"/>
  <c r="X13" i="42"/>
  <c r="W10" i="42"/>
  <c r="U10" i="42"/>
  <c r="X8" i="42"/>
  <c r="W8" i="42"/>
  <c r="S10" i="42"/>
  <c r="S8" i="42"/>
  <c r="X10" i="42"/>
  <c r="P36" i="42"/>
  <c r="S13" i="42"/>
  <c r="X16" i="42"/>
  <c r="P16" i="42"/>
  <c r="L7" i="44" s="1"/>
  <c r="S16" i="42"/>
  <c r="Q16" i="42"/>
  <c r="U16" i="42"/>
  <c r="W16" i="42"/>
  <c r="U17" i="42"/>
  <c r="W17" i="42"/>
  <c r="S17" i="42"/>
  <c r="Q17" i="42"/>
  <c r="X17" i="42"/>
  <c r="U11" i="42"/>
  <c r="X11" i="42"/>
  <c r="W11" i="42"/>
  <c r="Q11" i="42"/>
  <c r="S11" i="42"/>
  <c r="Q12" i="42"/>
  <c r="S12" i="42"/>
  <c r="U12" i="42"/>
  <c r="W12" i="42"/>
  <c r="X12" i="42"/>
  <c r="W9" i="42"/>
  <c r="X9" i="42"/>
  <c r="U9" i="42"/>
  <c r="Q9" i="42"/>
  <c r="S9" i="42"/>
  <c r="U14" i="42"/>
  <c r="X14" i="42"/>
  <c r="W14" i="42"/>
  <c r="Q14" i="42"/>
  <c r="S14" i="42"/>
  <c r="Y8" i="42" l="1"/>
  <c r="Z8" i="42" s="1"/>
  <c r="Q36" i="42"/>
  <c r="R37" i="42" s="1"/>
  <c r="Y19" i="42"/>
  <c r="Z19" i="42" s="1"/>
  <c r="Y15" i="42"/>
  <c r="Z15" i="42" s="1"/>
  <c r="L6" i="44"/>
  <c r="Y18" i="42"/>
  <c r="Z18" i="42" s="1"/>
  <c r="Y13" i="42"/>
  <c r="Z13" i="42" s="1"/>
  <c r="Y10" i="42"/>
  <c r="Z10" i="42" s="1"/>
  <c r="T36" i="42"/>
  <c r="F21" i="44" s="1"/>
  <c r="R36" i="42"/>
  <c r="Y9" i="42"/>
  <c r="Z9" i="42" s="1"/>
  <c r="X36" i="42"/>
  <c r="F23" i="44" s="1"/>
  <c r="Y14" i="42"/>
  <c r="Z14" i="42" s="1"/>
  <c r="Y36" i="42"/>
  <c r="Y17" i="42"/>
  <c r="Z17" i="42" s="1"/>
  <c r="Y12" i="42"/>
  <c r="Z12" i="42" s="1"/>
  <c r="V36" i="42"/>
  <c r="F22" i="44" s="1"/>
  <c r="Y11" i="42"/>
  <c r="Z11" i="42" s="1"/>
  <c r="Y16" i="42"/>
  <c r="Z16" i="42" s="1"/>
  <c r="L12" i="44" l="1"/>
  <c r="C20" i="44"/>
  <c r="R38" i="42"/>
  <c r="F24" i="44"/>
  <c r="F32" i="44" s="1"/>
  <c r="AA16" i="42"/>
  <c r="M7" i="44" s="1"/>
  <c r="AA8" i="42"/>
  <c r="N6" i="44" l="1"/>
  <c r="N9" i="44"/>
  <c r="O9" i="44" s="1"/>
  <c r="P9" i="44" s="1"/>
  <c r="Q9" i="44" s="1"/>
  <c r="N8" i="44"/>
  <c r="O8" i="44" s="1"/>
  <c r="P8" i="44" s="1"/>
  <c r="Q8" i="44" s="1"/>
  <c r="N10" i="44"/>
  <c r="O10" i="44" s="1"/>
  <c r="P10" i="44" s="1"/>
  <c r="Q10" i="44" s="1"/>
  <c r="N11" i="44"/>
  <c r="O11" i="44" s="1"/>
  <c r="P11" i="44" s="1"/>
  <c r="Q11" i="44" s="1"/>
  <c r="N7" i="44"/>
  <c r="O7" i="44" s="1"/>
  <c r="P7" i="44" s="1"/>
  <c r="Q7" i="44" s="1"/>
  <c r="F28" i="44"/>
  <c r="F30" i="44" s="1"/>
  <c r="F33" i="44" s="1"/>
  <c r="F34" i="44" s="1"/>
  <c r="I21" i="44" s="1"/>
  <c r="C23" i="44"/>
  <c r="I20" i="44" s="1"/>
  <c r="M6" i="44"/>
  <c r="O6" i="44" l="1"/>
  <c r="P6" i="44" s="1"/>
  <c r="M12" i="44"/>
  <c r="I22" i="44"/>
  <c r="I25" i="44" s="1"/>
  <c r="D42" i="44" s="1"/>
  <c r="P12" i="44" l="1"/>
  <c r="Q6" i="44"/>
  <c r="Q12" i="44" s="1"/>
  <c r="O12" i="44"/>
  <c r="C13" i="44" l="1"/>
  <c r="I28" i="44"/>
  <c r="I31" i="44" s="1"/>
  <c r="E42" i="44" s="1"/>
  <c r="C15" i="44" l="1"/>
  <c r="C16"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tc={6AB14A1D-22FD-4E53-A65C-017074592E60}</author>
  </authors>
  <commentList>
    <comment ref="B2" authorId="0" shapeId="0" xr:uid="{6AB14A1D-22FD-4E53-A65C-017074592E60}">
      <text>
        <t>[Threaded comment]
Your version of Excel allows you to read this threaded comment; however, any edits to it will get removed if the file is opened in a newer version of Excel. Learn more: https://go.microsoft.com/fwlink/?linkid=870924
Comment:
    To me, 'NRPF' is not visible in the title at first glance (unless I look at the tab above). If this is common across viewing platforms, can we alter it?
Reply:
    I can see it on my version so please amend it on yours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tc={F4FFE929-E0C0-46F5-BA1B-7D40BAB6AC2D}</author>
  </authors>
  <commentList>
    <comment ref="P8" authorId="0" shapeId="0" xr:uid="{F4FFE929-E0C0-46F5-BA1B-7D40BAB6AC2D}">
      <text>
        <t>[Threaded comment]
Your version of Excel allows you to read this threaded comment; however, any edits to it will get removed if the file is opened in a newer version of Excel. Learn more: https://go.microsoft.com/fwlink/?linkid=870924
Comment:
    This was in the box above (Q7). Moved it below and that prompted signfiicnt change in helath calculation from a positive to a minus gain.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tc={C9669DB6-0B41-4CE1-B182-607B84717E26}</author>
  </authors>
  <commentList>
    <comment ref="D3" authorId="0" shapeId="0" xr:uid="{C9669DB6-0B41-4CE1-B182-607B84717E26}">
      <text>
        <t xml:space="preserve">[Threaded comment]
Your version of Excel allows you to read this threaded comment; however, any edits to it will get removed if the file is opened in a newer version of Excel. Learn more: https://go.microsoft.com/fwlink/?linkid=870924
Comment:
    This was originally listed as 2016 so the inflation needs re-doing for 2014/15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 Theobald</author>
  </authors>
  <commentList>
    <comment ref="Q6" authorId="0" shapeId="0" xr:uid="{00000000-0006-0000-0000-000001000000}">
      <text>
        <r>
          <rPr>
            <b/>
            <sz val="9"/>
            <color indexed="81"/>
            <rFont val="Tahoma"/>
            <family val="2"/>
          </rPr>
          <t>Chris Theobald:</t>
        </r>
        <r>
          <rPr>
            <sz val="9"/>
            <color indexed="81"/>
            <rFont val="Tahoma"/>
            <family val="2"/>
          </rPr>
          <t xml:space="preserve">
Do we know why there's such a big difference for the average inflation rate between the two periods shown? I've added in a working to show what it would be at 2% - the difference is about £2k (unlikely to be material in context)</t>
        </r>
      </text>
    </comment>
  </commentList>
</comments>
</file>

<file path=xl/sharedStrings.xml><?xml version="1.0" encoding="utf-8"?>
<sst xmlns="http://schemas.openxmlformats.org/spreadsheetml/2006/main" count="325" uniqueCount="252">
  <si>
    <t>Homicide</t>
  </si>
  <si>
    <t>Perp charged</t>
  </si>
  <si>
    <t>Recorded crime (arrest)</t>
  </si>
  <si>
    <t>Recorded crime (no arrest)</t>
  </si>
  <si>
    <t>Police call out</t>
  </si>
  <si>
    <t>Refused under HRA</t>
  </si>
  <si>
    <t>MARAC referrals</t>
  </si>
  <si>
    <t>MARAC</t>
  </si>
  <si>
    <t>Self harm</t>
  </si>
  <si>
    <t>PTSD / Complex Trauma</t>
  </si>
  <si>
    <t>Depression</t>
  </si>
  <si>
    <t>Anxiety</t>
  </si>
  <si>
    <t>Miscarriage</t>
  </si>
  <si>
    <t>Sexually Transmitted Disease</t>
  </si>
  <si>
    <t>Suicide attempt</t>
  </si>
  <si>
    <t>Serious assault</t>
  </si>
  <si>
    <t>Assault / minor injuries</t>
  </si>
  <si>
    <t>Child placed under child protection</t>
  </si>
  <si>
    <t>Child assesed as 'in need'</t>
  </si>
  <si>
    <t>Social services referral made</t>
  </si>
  <si>
    <t>Social services family / parenting support</t>
  </si>
  <si>
    <t>Health</t>
  </si>
  <si>
    <t>Mental health</t>
  </si>
  <si>
    <t>Policing</t>
  </si>
  <si>
    <t>Children per woman</t>
  </si>
  <si>
    <t>Pregnancy</t>
  </si>
  <si>
    <t>Psychiatric needs</t>
  </si>
  <si>
    <t>Street homeless</t>
  </si>
  <si>
    <t xml:space="preserve">Demand/access from other sources </t>
  </si>
  <si>
    <t xml:space="preserve">Legal entitlements </t>
  </si>
  <si>
    <t xml:space="preserve">Reduction resulting in intervention from other sources </t>
  </si>
  <si>
    <t>Serious sexual assault and rape</t>
  </si>
  <si>
    <t>Serious sexual assault / rape</t>
  </si>
  <si>
    <t>Psychiatric</t>
  </si>
  <si>
    <t>UNDOC - cannot</t>
  </si>
  <si>
    <t>UNDOC high</t>
  </si>
  <si>
    <t>UNDOC low</t>
  </si>
  <si>
    <t>DOC high</t>
  </si>
  <si>
    <t>DOC low</t>
  </si>
  <si>
    <t>Anxiety and depression</t>
  </si>
  <si>
    <t>Demand prevalence (lifted from spreadsheets) (per woman per year)</t>
  </si>
  <si>
    <t>Costs after inflation</t>
  </si>
  <si>
    <t xml:space="preserve">Demand/access in our cases </t>
  </si>
  <si>
    <t xml:space="preserve">Reduction resulting from intevention in our cases </t>
  </si>
  <si>
    <t>Housing and Homelessness</t>
  </si>
  <si>
    <t>Street Homeless</t>
  </si>
  <si>
    <t>Child Looked After</t>
  </si>
  <si>
    <t>Child is taken into care (first year)</t>
  </si>
  <si>
    <t>Children's services</t>
  </si>
  <si>
    <t>Child is taken into care (yr 1)</t>
  </si>
  <si>
    <t>Child Looked After (yr 2 onwards)</t>
  </si>
  <si>
    <t>Protection Orders</t>
  </si>
  <si>
    <t xml:space="preserve">Suicide attempt </t>
  </si>
  <si>
    <t>Pre-intervention annual costs</t>
  </si>
  <si>
    <t>During intervention (year 1) annual costs</t>
  </si>
  <si>
    <t>During / post intervention (year 2) annual costs</t>
  </si>
  <si>
    <t>Post intervention (year 3) annual costs</t>
  </si>
  <si>
    <t>Child assessed as 'in need'</t>
  </si>
  <si>
    <r>
      <t xml:space="preserve">Total per woman spend years 1-3 </t>
    </r>
    <r>
      <rPr>
        <b/>
        <sz val="10"/>
        <color theme="1"/>
        <rFont val="Calibri"/>
        <family val="2"/>
        <scheme val="minor"/>
      </rPr>
      <t>(including the sustained costs of the 25% non engaging women)</t>
    </r>
  </si>
  <si>
    <r>
      <t xml:space="preserve">Per commissioner Total per woman spend years 1-3 </t>
    </r>
    <r>
      <rPr>
        <b/>
        <sz val="10"/>
        <color theme="1"/>
        <rFont val="Calibri"/>
        <family val="2"/>
        <scheme val="minor"/>
      </rPr>
      <t xml:space="preserve"> (including the sustained costs of the 25% non engaging women)</t>
    </r>
  </si>
  <si>
    <t>Sub-categories as a proportion of the whole cohort (Calculation: incident cost X number of incidents X women in cohort) (Chidren have been calculated as: incident cost X number of incidents per child X (average child per woman X woman in cohort)</t>
  </si>
  <si>
    <t>Number of women in cohort</t>
  </si>
  <si>
    <t>Inputs</t>
  </si>
  <si>
    <t>Rate of Success- Year 1</t>
  </si>
  <si>
    <t>Rate of Success - Year 2</t>
  </si>
  <si>
    <t>Rate of Success - Year 3</t>
  </si>
  <si>
    <t>Number of years in consideration</t>
  </si>
  <si>
    <t>Total women in the cohort</t>
  </si>
  <si>
    <t>Number of years considered</t>
  </si>
  <si>
    <t>Gains made per woman</t>
  </si>
  <si>
    <t>Commissioner spend pre-intervention per woman over three years</t>
  </si>
  <si>
    <t>Sensitivity on proportion non engaged</t>
  </si>
  <si>
    <t>% Non engaged</t>
  </si>
  <si>
    <t>Live</t>
  </si>
  <si>
    <t>Sensitivity case</t>
  </si>
  <si>
    <t>Physical health needs unmet and aggravated by abuse</t>
  </si>
  <si>
    <t xml:space="preserve">Base case </t>
  </si>
  <si>
    <t>Section 17 housing provision</t>
  </si>
  <si>
    <t>Demographic data</t>
  </si>
  <si>
    <t>Total</t>
  </si>
  <si>
    <t>2010/11</t>
  </si>
  <si>
    <t>2015/16</t>
  </si>
  <si>
    <t>2000/01</t>
  </si>
  <si>
    <t>2009/10</t>
  </si>
  <si>
    <t>2007/08</t>
  </si>
  <si>
    <t>Cost in 15/16</t>
  </si>
  <si>
    <t>Year</t>
  </si>
  <si>
    <t>2005/06</t>
  </si>
  <si>
    <t>2011/12</t>
  </si>
  <si>
    <t>Cost</t>
  </si>
  <si>
    <t xml:space="preserve">Source index and year </t>
  </si>
  <si>
    <t>Hospital and Community Health Services Inflation Index in 2015/16</t>
  </si>
  <si>
    <t>Hospital and Community Health Services Inflation Index in 2011/12</t>
  </si>
  <si>
    <t>Hospital and Community Health Services Inflation Index in 2010/11</t>
  </si>
  <si>
    <t>Bank of England average inflation</t>
  </si>
  <si>
    <t>MARAC per meeting</t>
  </si>
  <si>
    <t>Hospital and Community Health Services Inflation Index 2007/08</t>
  </si>
  <si>
    <t>2011/2012</t>
  </si>
  <si>
    <t>homelessness</t>
  </si>
  <si>
    <t>Hospital and Community Health Services Inflation Index in 2005/06</t>
  </si>
  <si>
    <t>eviction</t>
  </si>
  <si>
    <t>Hospital and Community Health Services Inflation Index in 2004/05</t>
  </si>
  <si>
    <t>Implied inflation rate</t>
  </si>
  <si>
    <t>Index Used</t>
  </si>
  <si>
    <t>cost</t>
  </si>
  <si>
    <t>Hospital and Community Health Services Inflation Index In 2000/01</t>
  </si>
  <si>
    <t xml:space="preserve">Inflation </t>
  </si>
  <si>
    <t>Inflation amount</t>
  </si>
  <si>
    <t>2004/05</t>
  </si>
  <si>
    <t>NHSCII</t>
  </si>
  <si>
    <t>2016/17</t>
  </si>
  <si>
    <t>2017/18</t>
  </si>
  <si>
    <t>2018/19</t>
  </si>
  <si>
    <t>2019/20</t>
  </si>
  <si>
    <t>2020/21</t>
  </si>
  <si>
    <t>2021/22</t>
  </si>
  <si>
    <t>Health indices costs</t>
  </si>
  <si>
    <t>Social care costs</t>
  </si>
  <si>
    <t>HEALTH INDEX</t>
  </si>
  <si>
    <t>CPI</t>
  </si>
  <si>
    <t>Special sensitivity</t>
  </si>
  <si>
    <t>Key outputs (over 3 years)</t>
  </si>
  <si>
    <t>Gains made across local public services</t>
  </si>
  <si>
    <t>% of women non engaging</t>
  </si>
  <si>
    <t xml:space="preserve">ADJUSTED engaged  cohort YEAR 1 commissioner spend </t>
  </si>
  <si>
    <t>ADJUSTED engaged cohort YEAR 2 commissioner spend</t>
  </si>
  <si>
    <t xml:space="preserve">ADJUSTED engaged cohort YEAR 3 commissioner spend </t>
  </si>
  <si>
    <r>
      <t xml:space="preserve">TOTAL Whole cohort ADJUSTED spend years 1-3 </t>
    </r>
    <r>
      <rPr>
        <b/>
        <sz val="10"/>
        <color theme="1"/>
        <rFont val="Calibri"/>
        <family val="2"/>
        <scheme val="minor"/>
      </rPr>
      <t>(engaged and non engaged)</t>
    </r>
  </si>
  <si>
    <t xml:space="preserve">Spend on non engaging cohort over 3 years </t>
  </si>
  <si>
    <r>
      <t>Engaged cohort ANNUAL pre-intervention costs</t>
    </r>
    <r>
      <rPr>
        <b/>
        <sz val="11"/>
        <color theme="1"/>
        <rFont val="Calibri"/>
        <family val="2"/>
        <scheme val="minor"/>
      </rPr>
      <t xml:space="preserve"> (inc "E2" multiplication by number of children per woman for CSC costs)</t>
    </r>
  </si>
  <si>
    <t>WHOLE cohort annual pre-intervention costs (engaged and non engaged women)</t>
  </si>
  <si>
    <t>References</t>
  </si>
  <si>
    <t xml:space="preserve">Protection Orders </t>
  </si>
  <si>
    <t xml:space="preserve">Criminal charge </t>
  </si>
  <si>
    <t>Inflation amounts</t>
  </si>
  <si>
    <t>2023 costs (inflated)</t>
  </si>
  <si>
    <t>Cost description</t>
  </si>
  <si>
    <t>Costs from 2019/20</t>
  </si>
  <si>
    <t>Costs from 2021/22</t>
  </si>
  <si>
    <t>Costs from 2017/18</t>
  </si>
  <si>
    <t>Costs from 2014/15</t>
  </si>
  <si>
    <t>Section 17 housing costs (London)</t>
  </si>
  <si>
    <t>Section 17 housing costs (non London)</t>
  </si>
  <si>
    <r>
      <rPr>
        <b/>
        <u/>
        <sz val="11"/>
        <color theme="1"/>
        <rFont val="Calibri"/>
        <family val="2"/>
        <scheme val="minor"/>
      </rPr>
      <t xml:space="preserve">Average per week of child looked after £661 </t>
    </r>
    <r>
      <rPr>
        <sz val="11"/>
        <color theme="1"/>
        <rFont val="Calibri"/>
        <family val="2"/>
        <scheme val="minor"/>
      </rPr>
      <t xml:space="preserve">(Jones, 2021). This includes placement costs and additional education spend on looked after children. 
Additional process costs include: decide child needs to be placed and find </t>
    </r>
    <r>
      <rPr>
        <b/>
        <u/>
        <sz val="11"/>
        <color theme="1"/>
        <rFont val="Calibri"/>
        <family val="2"/>
        <scheme val="minor"/>
      </rPr>
      <t>new placement £1,216 per placement</t>
    </r>
    <r>
      <rPr>
        <sz val="11"/>
        <color theme="1"/>
        <rFont val="Calibri"/>
        <family val="2"/>
        <scheme val="minor"/>
      </rPr>
      <t xml:space="preserve">; </t>
    </r>
    <r>
      <rPr>
        <b/>
        <u/>
        <sz val="11"/>
        <color theme="1"/>
        <rFont val="Calibri"/>
        <family val="2"/>
        <scheme val="minor"/>
      </rPr>
      <t>care plan £241</t>
    </r>
    <r>
      <rPr>
        <sz val="11"/>
        <color theme="1"/>
        <rFont val="Calibri"/>
        <family val="2"/>
        <scheme val="minor"/>
      </rPr>
      <t xml:space="preserve"> (Holmes, 2021) Assuming likely two moves each year. </t>
    </r>
    <r>
      <rPr>
        <b/>
        <u/>
        <sz val="11"/>
        <color theme="1"/>
        <rFont val="Calibri"/>
        <family val="2"/>
        <scheme val="minor"/>
      </rPr>
      <t>Review £629</t>
    </r>
    <r>
      <rPr>
        <sz val="11"/>
        <color theme="1"/>
        <rFont val="Calibri"/>
        <family val="2"/>
        <scheme val="minor"/>
      </rPr>
      <t xml:space="preserve"> (Holmes, 2021) Costs included here are averages of all the (unweighted by frequency) types of care (Holmes, 2021). 
</t>
    </r>
  </si>
  <si>
    <r>
      <t xml:space="preserve">London cost of managing a homelessness acceptance is </t>
    </r>
    <r>
      <rPr>
        <b/>
        <u/>
        <sz val="11"/>
        <rFont val="Calibri"/>
        <family val="2"/>
        <scheme val="minor"/>
      </rPr>
      <t>over £9,500 per case in London</t>
    </r>
    <r>
      <rPr>
        <sz val="11"/>
        <rFont val="Calibri"/>
        <family val="2"/>
        <scheme val="minor"/>
      </rPr>
      <t xml:space="preserve">; compared to MHCLG’s </t>
    </r>
    <r>
      <rPr>
        <b/>
        <u/>
        <sz val="11"/>
        <rFont val="Calibri"/>
        <family val="2"/>
        <scheme val="minor"/>
      </rPr>
      <t>nationwide estimate of £4,200</t>
    </r>
    <r>
      <rPr>
        <b/>
        <sz val="11"/>
        <rFont val="Calibri"/>
        <family val="2"/>
        <scheme val="minor"/>
      </rPr>
      <t xml:space="preserve"> </t>
    </r>
    <r>
      <rPr>
        <sz val="11"/>
        <rFont val="Calibri"/>
        <family val="2"/>
        <scheme val="minor"/>
      </rPr>
      <t xml:space="preserve">(Scanlon et al, 2019). 
</t>
    </r>
  </si>
  <si>
    <t>2023 costs after inflation</t>
  </si>
  <si>
    <r>
      <t xml:space="preserve">
Costs have been supplied by West Midlands Police, November 2023. 
</t>
    </r>
    <r>
      <rPr>
        <b/>
        <u/>
        <sz val="11"/>
        <rFont val="Calibri"/>
        <family val="2"/>
        <scheme val="minor"/>
      </rPr>
      <t>Costs of a Police call out to a domestic abuse incident:</t>
    </r>
    <r>
      <rPr>
        <sz val="11"/>
        <rFont val="Calibri"/>
        <family val="2"/>
        <scheme val="minor"/>
      </rPr>
      <t xml:space="preserve">
&gt; </t>
    </r>
    <r>
      <rPr>
        <b/>
        <u/>
        <sz val="11"/>
        <rFont val="Calibri"/>
        <family val="2"/>
        <scheme val="minor"/>
      </rPr>
      <t>No investigation (median) = £460</t>
    </r>
    <r>
      <rPr>
        <sz val="11"/>
        <rFont val="Calibri"/>
        <family val="2"/>
        <scheme val="minor"/>
      </rPr>
      <t xml:space="preserve">
&gt; Investigation (median) = £3,484
</t>
    </r>
  </si>
  <si>
    <r>
      <t xml:space="preserve">
Costs have been supplied by West Midlands Police, November 2023. 
</t>
    </r>
    <r>
      <rPr>
        <b/>
        <u/>
        <sz val="11"/>
        <rFont val="Calibri"/>
        <family val="2"/>
        <scheme val="minor"/>
      </rPr>
      <t>Costs of recorded crime with no arrest:</t>
    </r>
    <r>
      <rPr>
        <sz val="11"/>
        <rFont val="Calibri"/>
        <family val="2"/>
        <scheme val="minor"/>
      </rPr>
      <t xml:space="preserve">
</t>
    </r>
    <r>
      <rPr>
        <b/>
        <u/>
        <sz val="11"/>
        <rFont val="Calibri"/>
        <family val="2"/>
        <scheme val="minor"/>
      </rPr>
      <t>&gt; No investigation (median) = £580</t>
    </r>
    <r>
      <rPr>
        <sz val="11"/>
        <rFont val="Calibri"/>
        <family val="2"/>
        <scheme val="minor"/>
      </rPr>
      <t xml:space="preserve">
&gt; Investigation (median) = £7,436
The costs without an arrest are larger than with an arrest; speaking with SMEs, this is likely to be the case as where there is no arrest is often / usually longer than with an arrest (in the pre-investigation stages).
</t>
    </r>
  </si>
  <si>
    <r>
      <t xml:space="preserve">
Added the </t>
    </r>
    <r>
      <rPr>
        <b/>
        <sz val="11"/>
        <color theme="1"/>
        <rFont val="Calibri"/>
        <family val="2"/>
        <scheme val="minor"/>
      </rPr>
      <t>cost of investigation related to arrest (</t>
    </r>
    <r>
      <rPr>
        <b/>
        <u/>
        <sz val="11"/>
        <color theme="1"/>
        <rFont val="Calibri"/>
        <family val="2"/>
        <scheme val="minor"/>
      </rPr>
      <t>£7070 minus the £526 of recording the crime</t>
    </r>
    <r>
      <rPr>
        <b/>
        <sz val="11"/>
        <color theme="1"/>
        <rFont val="Calibri"/>
        <family val="2"/>
        <scheme val="minor"/>
      </rPr>
      <t>)</t>
    </r>
    <r>
      <rPr>
        <sz val="11"/>
        <color theme="1"/>
        <rFont val="Calibri"/>
        <family val="2"/>
        <scheme val="minor"/>
      </rPr>
      <t xml:space="preserve"> with the</t>
    </r>
    <r>
      <rPr>
        <b/>
        <u/>
        <sz val="11"/>
        <color theme="1"/>
        <rFont val="Calibri"/>
        <family val="2"/>
        <scheme val="minor"/>
      </rPr>
      <t xml:space="preserve"> cost of custody (£564 for 16 hours)</t>
    </r>
    <r>
      <rPr>
        <b/>
        <sz val="11"/>
        <color theme="1"/>
        <rFont val="Calibri"/>
        <family val="2"/>
        <scheme val="minor"/>
      </rPr>
      <t xml:space="preserve">. </t>
    </r>
    <r>
      <rPr>
        <sz val="11"/>
        <color theme="1"/>
        <rFont val="Calibri"/>
        <family val="2"/>
        <scheme val="minor"/>
      </rPr>
      <t xml:space="preserve">Arrest costs: West Midlands Police. Custody costs cited by Sussex Constabulary in the Argus, retrieved 19th April 2021. 
</t>
    </r>
  </si>
  <si>
    <r>
      <t xml:space="preserve">
£3,217,740 in total including which including </t>
    </r>
    <r>
      <rPr>
        <b/>
        <u/>
        <sz val="11"/>
        <rFont val="Calibri"/>
        <family val="2"/>
        <scheme val="minor"/>
      </rPr>
      <t>£11,960 police</t>
    </r>
    <r>
      <rPr>
        <sz val="11"/>
        <rFont val="Calibri"/>
        <family val="2"/>
        <scheme val="minor"/>
      </rPr>
      <t xml:space="preserve"> and £800,980 wider CJS costs; </t>
    </r>
    <r>
      <rPr>
        <b/>
        <u/>
        <sz val="11"/>
        <rFont val="Calibri"/>
        <family val="2"/>
        <scheme val="minor"/>
      </rPr>
      <t xml:space="preserve">£5,480 victim services  </t>
    </r>
    <r>
      <rPr>
        <sz val="11"/>
        <rFont val="Calibri"/>
        <family val="2"/>
        <scheme val="minor"/>
      </rPr>
      <t xml:space="preserve">in 2015/16 prices (Heeks et al, 2018).
Prevalence of homicide: 373 homicides across 2,400,000 adults (Office for National Statistics, 2022) 
</t>
    </r>
  </si>
  <si>
    <r>
      <t xml:space="preserve">
Costs have been supplied by West Midlands Police, November 2023. 
</t>
    </r>
    <r>
      <rPr>
        <b/>
        <sz val="11"/>
        <color theme="1"/>
        <rFont val="Calibri"/>
        <family val="2"/>
        <scheme val="minor"/>
      </rPr>
      <t xml:space="preserve">Costs of recorded crime where an arrest is made:
&gt; No investigation (median) = £526
</t>
    </r>
    <r>
      <rPr>
        <sz val="11"/>
        <color theme="1"/>
        <rFont val="Calibri"/>
        <family val="2"/>
        <scheme val="minor"/>
      </rPr>
      <t xml:space="preserve">&gt; Investigation (median) = £7,070
</t>
    </r>
  </si>
  <si>
    <r>
      <rPr>
        <b/>
        <u/>
        <sz val="11"/>
        <color theme="1"/>
        <rFont val="Calibri"/>
        <family val="2"/>
        <scheme val="minor"/>
      </rPr>
      <t xml:space="preserve">
Average per week of child looked after £661</t>
    </r>
    <r>
      <rPr>
        <sz val="11"/>
        <color theme="1"/>
        <rFont val="Calibri"/>
        <family val="2"/>
        <scheme val="minor"/>
      </rPr>
      <t xml:space="preserve"> (Jones, 2021). This includes placement costs and additional education spend on looked after children. 
Additional process costs include: decide child needs to be placed and find first / new placement </t>
    </r>
    <r>
      <rPr>
        <b/>
        <u/>
        <sz val="11"/>
        <color theme="1"/>
        <rFont val="Calibri"/>
        <family val="2"/>
        <scheme val="minor"/>
      </rPr>
      <t>£1,216 per placement</t>
    </r>
    <r>
      <rPr>
        <sz val="11"/>
        <color theme="1"/>
        <rFont val="Calibri"/>
        <family val="2"/>
        <scheme val="minor"/>
      </rPr>
      <t xml:space="preserve">; </t>
    </r>
    <r>
      <rPr>
        <b/>
        <u/>
        <sz val="11"/>
        <color theme="1"/>
        <rFont val="Calibri"/>
        <family val="2"/>
        <scheme val="minor"/>
      </rPr>
      <t>care plan £241</t>
    </r>
    <r>
      <rPr>
        <sz val="11"/>
        <color theme="1"/>
        <rFont val="Calibri"/>
        <family val="2"/>
        <scheme val="minor"/>
      </rPr>
      <t xml:space="preserve"> (Holmes, 2021) Assuming likely two moves each year. </t>
    </r>
    <r>
      <rPr>
        <b/>
        <u/>
        <sz val="11"/>
        <color theme="1"/>
        <rFont val="Calibri"/>
        <family val="2"/>
        <scheme val="minor"/>
      </rPr>
      <t>Review £629; Section 31 care order legal process (£4,195)</t>
    </r>
    <r>
      <rPr>
        <sz val="11"/>
        <color theme="1"/>
        <rFont val="Calibri"/>
        <family val="2"/>
        <scheme val="minor"/>
      </rPr>
      <t xml:space="preserve"> (Holmes, 2021) Costs included here are averages of all the (unweighted by frequency) types of care (Holmes, 2021). 
</t>
    </r>
  </si>
  <si>
    <r>
      <t xml:space="preserve">
Using the "Confident Parenting Programme" as a proxy,</t>
    </r>
    <r>
      <rPr>
        <b/>
        <u/>
        <sz val="11"/>
        <color theme="1"/>
        <rFont val="Calibri"/>
        <family val="2"/>
        <scheme val="minor"/>
      </rPr>
      <t xml:space="preserve"> £569</t>
    </r>
    <r>
      <rPr>
        <sz val="11"/>
        <color theme="1"/>
        <rFont val="Calibri"/>
        <family val="2"/>
        <scheme val="minor"/>
      </rPr>
      <t xml:space="preserve"> in 2019/2020 per participant (Jones and Burns, 2021). 
</t>
    </r>
  </si>
  <si>
    <r>
      <t xml:space="preserve">
Costs: </t>
    </r>
    <r>
      <rPr>
        <b/>
        <u/>
        <sz val="11"/>
        <color theme="1"/>
        <rFont val="Calibri"/>
        <family val="2"/>
        <scheme val="minor"/>
      </rPr>
      <t>initial contact and referral</t>
    </r>
    <r>
      <rPr>
        <sz val="11"/>
        <color theme="1"/>
        <rFont val="Calibri"/>
        <family val="2"/>
        <scheme val="minor"/>
      </rPr>
      <t xml:space="preserve"> (</t>
    </r>
    <r>
      <rPr>
        <b/>
        <u/>
        <sz val="11"/>
        <color theme="1"/>
        <rFont val="Calibri"/>
        <family val="2"/>
        <scheme val="minor"/>
      </rPr>
      <t>£252)</t>
    </r>
    <r>
      <rPr>
        <sz val="11"/>
        <color theme="1"/>
        <rFont val="Calibri"/>
        <family val="2"/>
        <scheme val="minor"/>
      </rPr>
      <t>;</t>
    </r>
    <r>
      <rPr>
        <b/>
        <u/>
        <sz val="11"/>
        <color theme="1"/>
        <rFont val="Calibri"/>
        <family val="2"/>
        <scheme val="minor"/>
      </rPr>
      <t xml:space="preserve"> single assessment</t>
    </r>
    <r>
      <rPr>
        <sz val="11"/>
        <color theme="1"/>
        <rFont val="Calibri"/>
        <family val="2"/>
        <scheme val="minor"/>
      </rPr>
      <t xml:space="preserve"> (</t>
    </r>
    <r>
      <rPr>
        <b/>
        <u/>
        <sz val="11"/>
        <color theme="1"/>
        <rFont val="Calibri"/>
        <family val="2"/>
        <scheme val="minor"/>
      </rPr>
      <t xml:space="preserve">£693) </t>
    </r>
    <r>
      <rPr>
        <sz val="11"/>
        <color theme="1"/>
        <rFont val="Calibri"/>
        <family val="2"/>
        <scheme val="minor"/>
      </rPr>
      <t xml:space="preserve">(Holmes, 2021)
</t>
    </r>
  </si>
  <si>
    <r>
      <rPr>
        <b/>
        <u/>
        <sz val="11"/>
        <rFont val="Calibri"/>
        <family val="2"/>
        <scheme val="minor"/>
      </rPr>
      <t xml:space="preserve">
Child in Need £565 per month</t>
    </r>
    <r>
      <rPr>
        <sz val="11"/>
        <rFont val="Calibri"/>
        <family val="2"/>
        <scheme val="minor"/>
      </rPr>
      <t xml:space="preserve"> in 2014/15 figures (London Borough of Islington Pause business case, 2015).
We have assumed costs for 9 months; and that initial referral costs (above) have already been costed
</t>
    </r>
  </si>
  <si>
    <r>
      <t xml:space="preserve">
Costs: </t>
    </r>
    <r>
      <rPr>
        <b/>
        <u/>
        <sz val="11"/>
        <color theme="1"/>
        <rFont val="Calibri"/>
        <family val="2"/>
        <scheme val="minor"/>
      </rPr>
      <t>Section 47 enquiry (£704)</t>
    </r>
    <r>
      <rPr>
        <sz val="11"/>
        <color theme="1"/>
        <rFont val="Calibri"/>
        <family val="2"/>
        <scheme val="minor"/>
      </rPr>
      <t xml:space="preserve">; </t>
    </r>
    <r>
      <rPr>
        <b/>
        <u/>
        <sz val="11"/>
        <color theme="1"/>
        <rFont val="Calibri"/>
        <family val="2"/>
        <scheme val="minor"/>
      </rPr>
      <t>ongoing support (£5) per day</t>
    </r>
    <r>
      <rPr>
        <sz val="11"/>
        <color theme="1"/>
        <rFont val="Calibri"/>
        <family val="2"/>
        <scheme val="minor"/>
      </rPr>
      <t xml:space="preserve">; </t>
    </r>
    <r>
      <rPr>
        <b/>
        <u/>
        <sz val="11"/>
        <color theme="1"/>
        <rFont val="Calibri"/>
        <family val="2"/>
        <scheme val="minor"/>
      </rPr>
      <t>planning and review (assumed annual) (£936)</t>
    </r>
    <r>
      <rPr>
        <sz val="11"/>
        <color theme="1"/>
        <rFont val="Calibri"/>
        <family val="2"/>
        <scheme val="minor"/>
      </rPr>
      <t xml:space="preserve">, </t>
    </r>
    <r>
      <rPr>
        <b/>
        <u/>
        <sz val="11"/>
        <color theme="1"/>
        <rFont val="Calibri"/>
        <family val="2"/>
        <scheme val="minor"/>
      </rPr>
      <t xml:space="preserve">Public Law Outline (£2,586) </t>
    </r>
    <r>
      <rPr>
        <sz val="11"/>
        <color theme="1"/>
        <rFont val="Calibri"/>
        <family val="2"/>
        <scheme val="minor"/>
      </rPr>
      <t xml:space="preserve">(Holmes, 2021)
</t>
    </r>
  </si>
  <si>
    <r>
      <t xml:space="preserve">
Assuming</t>
    </r>
    <r>
      <rPr>
        <b/>
        <u/>
        <sz val="11"/>
        <color theme="1"/>
        <rFont val="Calibri"/>
        <family val="2"/>
        <scheme val="minor"/>
      </rPr>
      <t xml:space="preserve"> 3 nights in a night shelter because 3 nights was typical duration of street homelessnes before being identified and one outreach contact</t>
    </r>
    <r>
      <rPr>
        <sz val="11"/>
        <color theme="1"/>
        <rFont val="Calibri"/>
        <family val="2"/>
        <scheme val="minor"/>
      </rPr>
      <t xml:space="preserve">. For most cases we </t>
    </r>
    <r>
      <rPr>
        <b/>
        <u/>
        <sz val="11"/>
        <color theme="1"/>
        <rFont val="Calibri"/>
        <family val="2"/>
        <scheme val="minor"/>
      </rPr>
      <t>have assumed only 0.5 need when homeless is met</t>
    </r>
    <r>
      <rPr>
        <sz val="11"/>
        <color theme="1"/>
        <rFont val="Calibri"/>
        <family val="2"/>
        <scheme val="minor"/>
      </rPr>
      <t xml:space="preserve">: this figure acknowledges women won't get full access but may have some contact with services and the wider costs of homelessness infrastructure. 
</t>
    </r>
    <r>
      <rPr>
        <b/>
        <u/>
        <sz val="11"/>
        <color theme="1"/>
        <rFont val="Calibri"/>
        <family val="2"/>
        <scheme val="minor"/>
      </rPr>
      <t>Night Shelter £142 per night; outreach contact £70 per contact</t>
    </r>
    <r>
      <rPr>
        <sz val="11"/>
        <color theme="1"/>
        <rFont val="Calibri"/>
        <family val="2"/>
        <scheme val="minor"/>
      </rPr>
      <t xml:space="preserve"> (Pleace, 2015).</t>
    </r>
    <r>
      <rPr>
        <b/>
        <u/>
        <sz val="11"/>
        <color theme="1"/>
        <rFont val="Calibri"/>
        <family val="2"/>
        <scheme val="minor"/>
      </rPr>
      <t xml:space="preserve"> </t>
    </r>
    <r>
      <rPr>
        <sz val="11"/>
        <color theme="1"/>
        <rFont val="Calibri"/>
        <family val="2"/>
        <scheme val="minor"/>
      </rPr>
      <t>In Greater Manchester women then access 70 days of</t>
    </r>
    <r>
      <rPr>
        <b/>
        <u/>
        <sz val="11"/>
        <color theme="1"/>
        <rFont val="Calibri"/>
        <family val="2"/>
        <scheme val="minor"/>
      </rPr>
      <t xml:space="preserve"> "low intensity support accomodation"</t>
    </r>
    <r>
      <rPr>
        <sz val="11"/>
        <color theme="1"/>
        <rFont val="Calibri"/>
        <family val="2"/>
        <scheme val="minor"/>
      </rPr>
      <t xml:space="preserve"> which typically costs</t>
    </r>
    <r>
      <rPr>
        <b/>
        <u/>
        <sz val="11"/>
        <color theme="1"/>
        <rFont val="Calibri"/>
        <family val="2"/>
        <scheme val="minor"/>
      </rPr>
      <t xml:space="preserve"> £4,428 per 41 weeks therefore £15 per day </t>
    </r>
    <r>
      <rPr>
        <sz val="11"/>
        <color theme="1"/>
        <rFont val="Calibri"/>
        <family val="2"/>
        <scheme val="minor"/>
      </rPr>
      <t xml:space="preserve">(figures provided by Greater Manchester Combined Authority, 2023).
</t>
    </r>
  </si>
  <si>
    <r>
      <t xml:space="preserve">Cost of making a decision on a </t>
    </r>
    <r>
      <rPr>
        <b/>
        <u/>
        <sz val="11"/>
        <color theme="1"/>
        <rFont val="Calibri"/>
        <family val="2"/>
        <scheme val="minor"/>
      </rPr>
      <t>homelessness application £558 including overheads</t>
    </r>
    <r>
      <rPr>
        <sz val="11"/>
        <color theme="1"/>
        <rFont val="Calibri"/>
        <family val="2"/>
        <scheme val="minor"/>
      </rPr>
      <t xml:space="preserve"> (Shelter, 2</t>
    </r>
    <r>
      <rPr>
        <sz val="11"/>
        <rFont val="Calibri"/>
        <family val="2"/>
        <scheme val="minor"/>
      </rPr>
      <t xml:space="preserve">010).  </t>
    </r>
    <r>
      <rPr>
        <sz val="11"/>
        <color theme="1"/>
        <rFont val="Calibri"/>
        <family val="2"/>
        <scheme val="minor"/>
      </rPr>
      <t xml:space="preserve">
</t>
    </r>
  </si>
  <si>
    <t>Cost Description</t>
  </si>
  <si>
    <r>
      <t xml:space="preserve">
This category is what Syliva Walby termed "serious wounding" (Walby, 2004). 
Costs include:
&gt; In 2020/21, the estimated average cost of a patient</t>
    </r>
    <r>
      <rPr>
        <b/>
        <u/>
        <sz val="11"/>
        <color theme="1"/>
        <rFont val="Calibri"/>
        <family val="2"/>
        <scheme val="minor"/>
      </rPr>
      <t xml:space="preserve"> being taken to A&amp;E by ambulance was £367 </t>
    </r>
    <r>
      <rPr>
        <sz val="11"/>
        <color theme="1"/>
        <rFont val="Calibri"/>
        <family val="2"/>
        <scheme val="minor"/>
      </rPr>
      <t>(The King's Fund, 2023). 
&gt; Cost of</t>
    </r>
    <r>
      <rPr>
        <b/>
        <u/>
        <sz val="11"/>
        <color theme="1"/>
        <rFont val="Calibri"/>
        <family val="2"/>
        <scheme val="minor"/>
      </rPr>
      <t xml:space="preserve"> treatment for dislocation / broken bones £2,510</t>
    </r>
    <r>
      <rPr>
        <sz val="11"/>
        <color theme="1"/>
        <rFont val="Calibri"/>
        <family val="2"/>
        <scheme val="minor"/>
      </rPr>
      <t xml:space="preserve"> in 2016/17 figures (Oliver et al, 2019). Which we assume in all cases. Assuming multiple injuries in 50% of cases which adds a further </t>
    </r>
    <r>
      <rPr>
        <b/>
        <u/>
        <sz val="11"/>
        <color theme="1"/>
        <rFont val="Calibri"/>
        <family val="2"/>
        <scheme val="minor"/>
      </rPr>
      <t>£1,070 proxy to cost of stabbing</t>
    </r>
    <r>
      <rPr>
        <sz val="11"/>
        <color theme="1"/>
        <rFont val="Calibri"/>
        <family val="2"/>
        <scheme val="minor"/>
      </rPr>
      <t xml:space="preserve"> in 2016/17 figures (Oliver et al, 2019).
&gt; Safeguarding liaison. Using </t>
    </r>
    <r>
      <rPr>
        <b/>
        <u/>
        <sz val="11"/>
        <color theme="1"/>
        <rFont val="Calibri"/>
        <family val="2"/>
        <scheme val="minor"/>
      </rPr>
      <t>Mental Health Hospital Liaison cost as a proxy per contact £304</t>
    </r>
    <r>
      <rPr>
        <sz val="11"/>
        <color theme="1"/>
        <rFont val="Calibri"/>
        <family val="2"/>
        <scheme val="minor"/>
      </rPr>
      <t xml:space="preserve"> (Jones et al, 2022)
&gt; </t>
    </r>
    <r>
      <rPr>
        <b/>
        <u/>
        <sz val="11"/>
        <color theme="1"/>
        <rFont val="Calibri"/>
        <family val="2"/>
        <scheme val="minor"/>
      </rPr>
      <t>Non-elective short stay £985</t>
    </r>
    <r>
      <rPr>
        <sz val="11"/>
        <color theme="1"/>
        <rFont val="Calibri"/>
        <family val="2"/>
        <scheme val="minor"/>
      </rPr>
      <t xml:space="preserve"> (Jones et al, 2022)
&gt; Mean cost of </t>
    </r>
    <r>
      <rPr>
        <b/>
        <u/>
        <sz val="11"/>
        <color theme="1"/>
        <rFont val="Calibri"/>
        <family val="2"/>
        <scheme val="minor"/>
      </rPr>
      <t>primary care follow up interventions £247</t>
    </r>
    <r>
      <rPr>
        <sz val="11"/>
        <color theme="1"/>
        <rFont val="Calibri"/>
        <family val="2"/>
        <scheme val="minor"/>
      </rPr>
      <t xml:space="preserve"> (Jones et al, 2022)</t>
    </r>
    <r>
      <rPr>
        <sz val="11"/>
        <color rgb="FFFF0000"/>
        <rFont val="Calibri"/>
        <family val="2"/>
        <scheme val="minor"/>
      </rPr>
      <t xml:space="preserve">
</t>
    </r>
  </si>
  <si>
    <r>
      <t xml:space="preserve">Serious assault </t>
    </r>
    <r>
      <rPr>
        <sz val="14"/>
        <color theme="1"/>
        <rFont val="Amasis MT Pro Black"/>
        <family val="1"/>
      </rPr>
      <t>(A&amp;E Category 2)</t>
    </r>
  </si>
  <si>
    <t xml:space="preserve">Assault (A&amp;E Category 4) </t>
  </si>
  <si>
    <r>
      <t xml:space="preserve">
Minor injuries, i.e. bruising. As we do not have more specific data, assuming an equal </t>
    </r>
    <r>
      <rPr>
        <sz val="11"/>
        <color theme="1"/>
        <rFont val="Calibri"/>
        <family val="2"/>
        <scheme val="minor"/>
      </rPr>
      <t xml:space="preserve">split on whether women present at A&amp;E or an urgent care centre. Assuming women have safeguarding liaison contact in only half of instances.
Costs:
&gt; </t>
    </r>
    <r>
      <rPr>
        <b/>
        <u/>
        <sz val="11"/>
        <color theme="1"/>
        <rFont val="Calibri"/>
        <family val="2"/>
        <scheme val="minor"/>
      </rPr>
      <t>A&amp;E non admission £131</t>
    </r>
    <r>
      <rPr>
        <sz val="11"/>
        <color theme="1"/>
        <rFont val="Calibri"/>
        <family val="2"/>
        <scheme val="minor"/>
      </rPr>
      <t xml:space="preserve"> (Department of Health, 2012)</t>
    </r>
    <r>
      <rPr>
        <b/>
        <u/>
        <sz val="11"/>
        <color theme="1"/>
        <rFont val="Calibri"/>
        <family val="2"/>
        <scheme val="minor"/>
      </rPr>
      <t xml:space="preserve">
&gt; Urgent care centre attendance £86</t>
    </r>
    <r>
      <rPr>
        <sz val="11"/>
        <color theme="1"/>
        <rFont val="Calibri"/>
        <family val="2"/>
        <scheme val="minor"/>
      </rPr>
      <t xml:space="preserve"> in 2022/23 (The King's Fund, 2023). This is for the  lowest level of investigation and treatment. </t>
    </r>
    <r>
      <rPr>
        <sz val="11"/>
        <color theme="1"/>
        <rFont val="Calibri"/>
        <family val="2"/>
        <scheme val="minor"/>
      </rPr>
      <t xml:space="preserve">
&gt; Safeguarding liaison. Using </t>
    </r>
    <r>
      <rPr>
        <b/>
        <u/>
        <sz val="11"/>
        <color theme="1"/>
        <rFont val="Calibri"/>
        <family val="2"/>
        <scheme val="minor"/>
      </rPr>
      <t>Mental Health Hospital Liaison cost as a proxy per contact £304</t>
    </r>
    <r>
      <rPr>
        <sz val="11"/>
        <color theme="1"/>
        <rFont val="Calibri"/>
        <family val="2"/>
        <scheme val="minor"/>
      </rPr>
      <t xml:space="preserve"> (Jones et al, 2022)
</t>
    </r>
  </si>
  <si>
    <r>
      <t xml:space="preserve">
Costs:
&gt; </t>
    </r>
    <r>
      <rPr>
        <b/>
        <u/>
        <sz val="11"/>
        <color theme="1"/>
        <rFont val="Calibri"/>
        <family val="2"/>
        <scheme val="minor"/>
      </rPr>
      <t>Sexual Assault Referral Centre costs in London £3,300 and £1,500-£2,500 outside London</t>
    </r>
    <r>
      <rPr>
        <sz val="11"/>
        <color theme="1"/>
        <rFont val="Calibri"/>
        <family val="2"/>
        <scheme val="minor"/>
      </rPr>
      <t xml:space="preserve"> in 2018/19 figures (Health in Justice Team, NHS London). The cost variation is because the London offer is more holistic. However there is a split between NHS and PCC funding (varies 40-60% so we assume an equal split).  We assume higher-end costs because extended appointment time due to langauge barriers.
&gt; </t>
    </r>
    <r>
      <rPr>
        <sz val="11"/>
        <rFont val="Calibri"/>
        <family val="2"/>
        <scheme val="minor"/>
      </rPr>
      <t xml:space="preserve"> Estimated </t>
    </r>
    <r>
      <rPr>
        <b/>
        <u/>
        <sz val="11"/>
        <rFont val="Calibri"/>
        <family val="2"/>
        <scheme val="minor"/>
      </rPr>
      <t>five hours of interpreter costs at £26 + VAT</t>
    </r>
    <r>
      <rPr>
        <sz val="11"/>
        <rFont val="Calibri"/>
        <family val="2"/>
        <scheme val="minor"/>
      </rPr>
      <t xml:space="preserve"> at 20% (source:</t>
    </r>
    <r>
      <rPr>
        <sz val="11"/>
        <color theme="1"/>
        <rFont val="Calibri"/>
        <family val="2"/>
        <scheme val="minor"/>
      </rPr>
      <t xml:space="preserve"> The Language Shop.org).  </t>
    </r>
    <r>
      <rPr>
        <sz val="11"/>
        <color theme="1"/>
        <rFont val="Calibri"/>
        <family val="2"/>
        <scheme val="minor"/>
      </rPr>
      <t xml:space="preserve">
</t>
    </r>
  </si>
  <si>
    <r>
      <t xml:space="preserve">
Costs:
&gt; Average cost of a patient </t>
    </r>
    <r>
      <rPr>
        <b/>
        <u/>
        <sz val="11"/>
        <color theme="1"/>
        <rFont val="Calibri"/>
        <family val="2"/>
        <scheme val="minor"/>
      </rPr>
      <t>being taken to A&amp;E by ambulance was £367</t>
    </r>
    <r>
      <rPr>
        <sz val="11"/>
        <color theme="1"/>
        <rFont val="Calibri"/>
        <family val="2"/>
        <scheme val="minor"/>
      </rPr>
      <t xml:space="preserve"> in 2020/21 (The King's Fund, 2023). 
&gt; Using as a </t>
    </r>
    <r>
      <rPr>
        <b/>
        <u/>
        <sz val="11"/>
        <color theme="1"/>
        <rFont val="Calibri"/>
        <family val="2"/>
        <scheme val="minor"/>
      </rPr>
      <t>proxy the treatment cost of dislocation / broken bones £2,510</t>
    </r>
    <r>
      <rPr>
        <sz val="11"/>
        <color theme="1"/>
        <rFont val="Calibri"/>
        <family val="2"/>
        <scheme val="minor"/>
      </rPr>
      <t xml:space="preserve"> in 2016/17 prices (Oliver et al, 2019). 
&gt; </t>
    </r>
    <r>
      <rPr>
        <b/>
        <u/>
        <sz val="11"/>
        <color theme="1"/>
        <rFont val="Calibri"/>
        <family val="2"/>
        <scheme val="minor"/>
      </rPr>
      <t>MH Hospital Liaison per contact £304</t>
    </r>
    <r>
      <rPr>
        <sz val="11"/>
        <color theme="1"/>
        <rFont val="Calibri"/>
        <family val="2"/>
        <scheme val="minor"/>
      </rPr>
      <t xml:space="preserve"> (Jones et al, 2022)
&gt; </t>
    </r>
    <r>
      <rPr>
        <b/>
        <u/>
        <sz val="11"/>
        <color theme="1"/>
        <rFont val="Calibri"/>
        <family val="2"/>
        <scheme val="minor"/>
      </rPr>
      <t>Non-elective short stay £985</t>
    </r>
    <r>
      <rPr>
        <sz val="11"/>
        <color theme="1"/>
        <rFont val="Calibri"/>
        <family val="2"/>
        <scheme val="minor"/>
      </rPr>
      <t xml:space="preserve"> (Jones et al, 2022). Assuming short stay in half of cases because of likelihood of use of ingestion (bleach) etc and therefore physical harm requiring monitoring. 
&gt; Mean cost of </t>
    </r>
    <r>
      <rPr>
        <b/>
        <u/>
        <sz val="11"/>
        <color theme="1"/>
        <rFont val="Calibri"/>
        <family val="2"/>
        <scheme val="minor"/>
      </rPr>
      <t>primary care follow up interventions £247</t>
    </r>
    <r>
      <rPr>
        <sz val="11"/>
        <color theme="1"/>
        <rFont val="Calibri"/>
        <family val="2"/>
        <scheme val="minor"/>
      </rPr>
      <t xml:space="preserve"> (Jones et al, 2022) assumed in half of cases.
</t>
    </r>
  </si>
  <si>
    <r>
      <t xml:space="preserve">
Will be referred to Early Pregnancy Unit (or A&amp;E at weekend). Cannot identify specific reference costs, so using a </t>
    </r>
    <r>
      <rPr>
        <b/>
        <u/>
        <sz val="11"/>
        <color theme="1"/>
        <rFont val="Calibri"/>
        <family val="2"/>
        <scheme val="minor"/>
      </rPr>
      <t>£800 proxy cost of Guys and St Thomas' Private Healthcare charging for "Antenatal/ Postnatal ward attendance over 3 hours (day case)"</t>
    </r>
    <r>
      <rPr>
        <sz val="11"/>
        <color theme="1"/>
        <rFont val="Calibri"/>
        <family val="2"/>
        <scheme val="minor"/>
      </rPr>
      <t xml:space="preserve"> (Guys and St Thomas' Private Healthcare, 2023). 
</t>
    </r>
  </si>
  <si>
    <r>
      <rPr>
        <b/>
        <u/>
        <sz val="11"/>
        <color theme="1"/>
        <rFont val="Calibri"/>
        <family val="2"/>
        <scheme val="minor"/>
      </rPr>
      <t xml:space="preserve">Genito-Urinary Medicine (GUM) £3,776 infections </t>
    </r>
    <r>
      <rPr>
        <sz val="11"/>
        <color theme="1"/>
        <rFont val="Calibri"/>
        <family val="2"/>
        <scheme val="minor"/>
      </rPr>
      <t xml:space="preserve">national costs (Jones et al, 2022)
</t>
    </r>
  </si>
  <si>
    <r>
      <t xml:space="preserve">
Overall </t>
    </r>
    <r>
      <rPr>
        <b/>
        <u/>
        <sz val="11"/>
        <color theme="1"/>
        <rFont val="Calibri"/>
        <family val="2"/>
        <scheme val="minor"/>
      </rPr>
      <t xml:space="preserve">mean </t>
    </r>
    <r>
      <rPr>
        <sz val="11"/>
        <color theme="1"/>
        <rFont val="Calibri"/>
        <family val="2"/>
        <scheme val="minor"/>
      </rPr>
      <t>hospital cost per episode of self-harm are £809</t>
    </r>
    <r>
      <rPr>
        <b/>
        <u/>
        <sz val="11"/>
        <color theme="1"/>
        <rFont val="Calibri"/>
        <family val="2"/>
        <scheme val="minor"/>
      </rPr>
      <t xml:space="preserve"> in what we assume to be 2013/14 prices (Tsiachristas at al, 2017). </t>
    </r>
    <r>
      <rPr>
        <sz val="11"/>
        <color theme="1"/>
        <rFont val="Calibri"/>
        <family val="2"/>
        <scheme val="minor"/>
      </rPr>
      <t xml:space="preserve"> These costs were mainly associated with inpatient stay, intensive care, and psychosocial assessment.
</t>
    </r>
  </si>
  <si>
    <t>2013/14</t>
  </si>
  <si>
    <r>
      <t xml:space="preserve">
Mean annual total h</t>
    </r>
    <r>
      <rPr>
        <b/>
        <u/>
        <sz val="11"/>
        <color theme="1"/>
        <rFont val="Calibri"/>
        <family val="2"/>
        <scheme val="minor"/>
      </rPr>
      <t>ealthcare costs for adults with SMI is £4,989</t>
    </r>
    <r>
      <rPr>
        <sz val="11"/>
        <color theme="1"/>
        <rFont val="Calibri"/>
        <family val="2"/>
        <scheme val="minor"/>
      </rPr>
      <t xml:space="preserve"> in 2013/14 figures comprising 19% from primary care (£938), 34% from general hospital care (£1717), and 47% from inpatient and community-based specialist mental health services (Ride et al, 2019). In addition</t>
    </r>
    <r>
      <rPr>
        <b/>
        <u/>
        <sz val="11"/>
        <color theme="1"/>
        <rFont val="Calibri"/>
        <family val="2"/>
        <scheme val="minor"/>
      </rPr>
      <t xml:space="preserve"> interpreter costs at £26 per hour + VAT at 20%</t>
    </r>
    <r>
      <rPr>
        <sz val="11"/>
        <color theme="1"/>
        <rFont val="Calibri"/>
        <family val="2"/>
        <scheme val="minor"/>
      </rPr>
      <t xml:space="preserve"> are assumed in half of cases for 10 hours
</t>
    </r>
  </si>
  <si>
    <r>
      <t xml:space="preserve">Assuming assessment and two contacts with Community Mental Health Services. This contact will come as it becomes clear the anxiety/depression pathway is not sufficient.
Component costs:
- </t>
    </r>
    <r>
      <rPr>
        <b/>
        <u/>
        <sz val="11"/>
        <color theme="1"/>
        <rFont val="Calibri"/>
        <family val="2"/>
        <scheme val="minor"/>
      </rPr>
      <t>£294 assessment</t>
    </r>
    <r>
      <rPr>
        <sz val="11"/>
        <color theme="1"/>
        <rFont val="Calibri"/>
        <family val="2"/>
        <scheme val="minor"/>
      </rPr>
      <t xml:space="preserve"> (Jones et al, 2022)
- </t>
    </r>
    <r>
      <rPr>
        <b/>
        <u/>
        <sz val="11"/>
        <color theme="1"/>
        <rFont val="Calibri"/>
        <family val="2"/>
        <scheme val="minor"/>
      </rPr>
      <t>£241 mental health care cluster contact</t>
    </r>
    <r>
      <rPr>
        <sz val="11"/>
        <color theme="1"/>
        <rFont val="Calibri"/>
        <family val="2"/>
        <scheme val="minor"/>
      </rPr>
      <t xml:space="preserve"> (Jones et al, 2022)
- </t>
    </r>
    <r>
      <rPr>
        <b/>
        <u/>
        <sz val="11"/>
        <color theme="1"/>
        <rFont val="Calibri"/>
        <family val="2"/>
        <scheme val="minor"/>
      </rPr>
      <t>Interpreter 3 hours at £26 per hour</t>
    </r>
    <r>
      <rPr>
        <sz val="11"/>
        <color theme="1"/>
        <rFont val="Calibri"/>
        <family val="2"/>
        <scheme val="minor"/>
      </rPr>
      <t xml:space="preserve"> + VAT at 20% (The Language Shop.com)
</t>
    </r>
  </si>
  <si>
    <t xml:space="preserve">As above
</t>
  </si>
  <si>
    <r>
      <t xml:space="preserve">
Pathway discussed with NHS England Clinical Lead for VAWG: double time GP consultation with interpreter. This is repeated twice (months 1-3) before IAPT is referred and then 12 week wait (months 4-6). IAPT plus interpreter (months 6-9); then when this doesn't succeed because its not CBT-resolvable (month 10-12) medication with review two appointments in first month and then monthly (so 5 GP plus interpreter appointments with prescriptions post IAPT). 
</t>
    </r>
    <r>
      <rPr>
        <b/>
        <u/>
        <sz val="11"/>
        <color theme="1"/>
        <rFont val="Calibri"/>
        <family val="2"/>
        <scheme val="minor"/>
      </rPr>
      <t xml:space="preserve">Component costs: </t>
    </r>
    <r>
      <rPr>
        <sz val="11"/>
        <color theme="1"/>
        <rFont val="Calibri"/>
        <family val="2"/>
        <scheme val="minor"/>
      </rPr>
      <t xml:space="preserve">
&gt; </t>
    </r>
    <r>
      <rPr>
        <b/>
        <u/>
        <sz val="11"/>
        <color theme="1"/>
        <rFont val="Calibri"/>
        <family val="2"/>
        <scheme val="minor"/>
      </rPr>
      <t>Interpreter at £26 per hour + VAT</t>
    </r>
    <r>
      <rPr>
        <sz val="11"/>
        <color theme="1"/>
        <rFont val="Calibri"/>
        <family val="2"/>
        <scheme val="minor"/>
      </rPr>
      <t xml:space="preserve"> at 20% (The Language Shop.com)
&gt; Assuming 30 minutes for initial GP appointment and 15 minutes for each subsequent GP appointment. </t>
    </r>
    <r>
      <rPr>
        <b/>
        <u/>
        <sz val="11"/>
        <color theme="1"/>
        <rFont val="Calibri"/>
        <family val="2"/>
        <scheme val="minor"/>
      </rPr>
      <t>GP consultation per hour £41</t>
    </r>
    <r>
      <rPr>
        <sz val="11"/>
        <color theme="1"/>
        <rFont val="Calibri"/>
        <family val="2"/>
        <scheme val="minor"/>
      </rPr>
      <t xml:space="preserve"> (Jones et al, 2022)
&gt; </t>
    </r>
    <r>
      <rPr>
        <b/>
        <u/>
        <sz val="11"/>
        <color theme="1"/>
        <rFont val="Calibri"/>
        <family val="2"/>
        <scheme val="minor"/>
      </rPr>
      <t>Prescription costs per appointment with GP are £33</t>
    </r>
    <r>
      <rPr>
        <sz val="11"/>
        <color theme="1"/>
        <rFont val="Calibri"/>
        <family val="2"/>
        <scheme val="minor"/>
      </rPr>
      <t xml:space="preserve"> (Jones et al, 2022)
&gt; </t>
    </r>
    <r>
      <rPr>
        <b/>
        <u/>
        <sz val="11"/>
        <color theme="1"/>
        <rFont val="Calibri"/>
        <family val="2"/>
        <scheme val="minor"/>
      </rPr>
      <t xml:space="preserve">IAPT is £140 per contact </t>
    </r>
    <r>
      <rPr>
        <sz val="11"/>
        <color theme="1"/>
        <rFont val="Calibri"/>
        <family val="2"/>
        <scheme val="minor"/>
      </rPr>
      <t xml:space="preserve">(Jones et al, 2022). We assume 15 IAPT sessions although it is up to 20. IAPT should be accessed with 6 weeks of referral but we assume the delay is double that.
</t>
    </r>
  </si>
  <si>
    <r>
      <rPr>
        <sz val="11"/>
        <color theme="1"/>
        <rFont val="Calibri"/>
        <family val="2"/>
        <scheme val="minor"/>
      </rPr>
      <t xml:space="preserve">
Untreated musculoskeletal pain accounts for 30% GP consultations (Manchester Metropolitan University, 2020). The average number of GP consultations per adult in the UK is eight each year - therefore 2.4 a GP consultations are attributable to preventable pains. We assume this in conjunction with prescription costs and with interpreters for half of women. 
Component costs:</t>
    </r>
    <r>
      <rPr>
        <b/>
        <u/>
        <sz val="11"/>
        <color theme="1"/>
        <rFont val="Calibri"/>
        <family val="2"/>
        <scheme val="minor"/>
      </rPr>
      <t xml:space="preserve">
</t>
    </r>
    <r>
      <rPr>
        <sz val="11"/>
        <color theme="1"/>
        <rFont val="Calibri"/>
        <family val="2"/>
        <scheme val="minor"/>
      </rPr>
      <t>&gt; I</t>
    </r>
    <r>
      <rPr>
        <b/>
        <u/>
        <sz val="11"/>
        <color theme="1"/>
        <rFont val="Calibri"/>
        <family val="2"/>
        <scheme val="minor"/>
      </rPr>
      <t>nterpreter at £26 per hour + VAT</t>
    </r>
    <r>
      <rPr>
        <sz val="11"/>
        <color theme="1"/>
        <rFont val="Calibri"/>
        <family val="2"/>
        <scheme val="minor"/>
      </rPr>
      <t xml:space="preserve"> at 20% (The Language Shop.com)
&gt; </t>
    </r>
    <r>
      <rPr>
        <b/>
        <u/>
        <sz val="11"/>
        <color theme="1"/>
        <rFont val="Calibri"/>
        <family val="2"/>
        <scheme val="minor"/>
      </rPr>
      <t>GP consultation per hour £41</t>
    </r>
    <r>
      <rPr>
        <sz val="11"/>
        <color theme="1"/>
        <rFont val="Calibri"/>
        <family val="2"/>
        <scheme val="minor"/>
      </rPr>
      <t xml:space="preserve"> (Jones et al, 2022). Assuming appointments 15 minutes.
&gt; </t>
    </r>
    <r>
      <rPr>
        <b/>
        <u/>
        <sz val="11"/>
        <color theme="1"/>
        <rFont val="Calibri"/>
        <family val="2"/>
        <scheme val="minor"/>
      </rPr>
      <t xml:space="preserve">Prescription costs per appointment with GP are £33 </t>
    </r>
    <r>
      <rPr>
        <sz val="11"/>
        <color theme="1"/>
        <rFont val="Calibri"/>
        <family val="2"/>
        <scheme val="minor"/>
      </rPr>
      <t xml:space="preserve">(Jones et al, 2022)
</t>
    </r>
  </si>
  <si>
    <t xml:space="preserve">Long term physical ill health resulting from abuse </t>
  </si>
  <si>
    <r>
      <t xml:space="preserve">
NICE guidelines stipulate that 'commissioners and those responsible for the organisation of local antenatal services should provide for flexibility in the length and frequency of antenatal appointments, over and above those outlined in national guidance to allow more time for women to discuss the domestic abuse they are experience (National Institute for Health and Care Excellence, 2010). The guidance also says interpreters should be provided when required.
.
Maternity death rate using Nigerian-born women as a proxy women with NRPF is 51 per 100,000 maternities. 90% of women who died had "multiple problems" such as domestic abuse, NRPF etc (MBRRACE-UK, 2021).
Cost components:
&gt; </t>
    </r>
    <r>
      <rPr>
        <b/>
        <u/>
        <sz val="11"/>
        <color theme="1"/>
        <rFont val="Calibri"/>
        <family val="2"/>
        <scheme val="minor"/>
      </rPr>
      <t>Cost difference between spontaneous vaginal birth and emergency caesarian is £1,660</t>
    </r>
    <r>
      <rPr>
        <sz val="11"/>
        <color theme="1"/>
        <rFont val="Calibri"/>
        <family val="2"/>
        <scheme val="minor"/>
      </rPr>
      <t xml:space="preserve"> (Relph et al, 2020). We are using this as a proxy for extra complications. 
&gt; A potential </t>
    </r>
    <r>
      <rPr>
        <b/>
        <u/>
        <sz val="11"/>
        <color theme="1"/>
        <rFont val="Calibri"/>
        <family val="2"/>
        <scheme val="minor"/>
      </rPr>
      <t>highest risk maternity costs £16,205</t>
    </r>
    <r>
      <rPr>
        <sz val="11"/>
        <color theme="1"/>
        <rFont val="Calibri"/>
        <family val="2"/>
        <scheme val="minor"/>
      </rPr>
      <t xml:space="preserve"> (Relph et al, 2020). We assume this occurs in 2% of the pregnancies. 
&gt; Typically there are 9 hours of antenatal appointments which would happen anyway (Milton Keynes University Hospital NHS Foundation Trust, 2023). We assume an excess 50% time is required for domestic abuse and NRPF combined complexity, plus the added interpretation costs at £26 per hour + VAT at 20% (The Language Shop.org) for this additional time. </t>
    </r>
    <r>
      <rPr>
        <b/>
        <u/>
        <sz val="11"/>
        <color theme="1"/>
        <rFont val="Calibri"/>
        <family val="2"/>
        <scheme val="minor"/>
      </rPr>
      <t>Midwifes are £222 per hour</t>
    </r>
    <r>
      <rPr>
        <sz val="11"/>
        <color theme="1"/>
        <rFont val="Calibri"/>
        <family val="2"/>
        <scheme val="minor"/>
      </rPr>
      <t xml:space="preserve"> (Relph et al, 2020).
</t>
    </r>
  </si>
  <si>
    <t>2022/23</t>
  </si>
  <si>
    <t>2014/15</t>
  </si>
  <si>
    <t>2012/13</t>
  </si>
  <si>
    <t>Hospital and Community Health Services Inflation Index in 2012/13</t>
  </si>
  <si>
    <t>Hospital and Community Health Services Inflation Index in 2013/14</t>
  </si>
  <si>
    <t>Hospital and Community Health Services Inflation Index in 2014/15</t>
  </si>
  <si>
    <t>58% and 2.17 children per woman</t>
  </si>
  <si>
    <t>Evidential basis</t>
  </si>
  <si>
    <t>About this cost benefit calculator</t>
  </si>
  <si>
    <t>The specialist intervention</t>
  </si>
  <si>
    <t>Reading the results</t>
  </si>
  <si>
    <t xml:space="preserve">
The results of the calculator are set out on the "Dashboard" tab. 
</t>
  </si>
  <si>
    <t>Adjustable Dashboard inputs to reflect your local needs</t>
  </si>
  <si>
    <t>Grey tab - source materials and more complex adjustments</t>
  </si>
  <si>
    <t xml:space="preserve">Savings made per woman </t>
  </si>
  <si>
    <t>3 yr per woman spend without intervention</t>
  </si>
  <si>
    <r>
      <rPr>
        <b/>
        <u/>
        <sz val="11"/>
        <rFont val="Calibri"/>
        <family val="2"/>
        <scheme val="minor"/>
      </rPr>
      <t>Estimated at £1,011 per protection order in 2015/16 prices.</t>
    </r>
    <r>
      <rPr>
        <sz val="11"/>
        <rFont val="Calibri"/>
        <family val="2"/>
        <scheme val="minor"/>
      </rPr>
      <t xml:space="preserve"> This is based on 4,017 DVPN and 3,698 DVPOs having a combined cost of £7.8million (Oliver et al, 2019)</t>
    </r>
  </si>
  <si>
    <r>
      <t xml:space="preserve">
Cost per case worked out by: each MARAC costs £11,900 per meeting (CAADA 2010) so costs £142,800 annually (2010 prices). This cost include 4 days of 10 professionals for each meeting. We assume 300 cases are discussed each year (some repeats). Therefore </t>
    </r>
    <r>
      <rPr>
        <b/>
        <u/>
        <sz val="11"/>
        <color theme="1"/>
        <rFont val="Calibri"/>
        <family val="2"/>
        <scheme val="minor"/>
      </rPr>
      <t>£476 per discussion/case (2010 prices)</t>
    </r>
    <r>
      <rPr>
        <sz val="11"/>
        <color theme="1"/>
        <rFont val="Calibri"/>
        <family val="2"/>
        <scheme val="minor"/>
      </rPr>
      <t xml:space="preserve">. Assume this includes IDVA 3 engagements. 
</t>
    </r>
  </si>
  <si>
    <r>
      <t xml:space="preserve">Proportion of </t>
    </r>
    <r>
      <rPr>
        <i/>
        <sz val="11"/>
        <color theme="1"/>
        <rFont val="Calibri"/>
        <family val="2"/>
        <scheme val="minor"/>
      </rPr>
      <t xml:space="preserve">by and for </t>
    </r>
    <r>
      <rPr>
        <sz val="11"/>
        <color theme="1"/>
        <rFont val="Calibri"/>
        <family val="2"/>
        <scheme val="minor"/>
      </rPr>
      <t>cost to subtract</t>
    </r>
  </si>
  <si>
    <t>Saving</t>
  </si>
  <si>
    <t>Net saving (including attribution)</t>
  </si>
  <si>
    <t>Number in cohort of women progressing</t>
  </si>
  <si>
    <t>Number of women in cohort not progressing</t>
  </si>
  <si>
    <t>Costs of progressing women over 3 years</t>
  </si>
  <si>
    <t>Non progressing women</t>
  </si>
  <si>
    <t>Costs of non-progressing women over 3 years</t>
  </si>
  <si>
    <t>NHS - physical health</t>
  </si>
  <si>
    <t>NHS - mental health</t>
  </si>
  <si>
    <t>Graph data below: DO NOT TOUCH</t>
  </si>
  <si>
    <r>
      <t xml:space="preserve">Net savings </t>
    </r>
    <r>
      <rPr>
        <u/>
        <sz val="14"/>
        <color theme="1"/>
        <rFont val="Amasis MT Pro Black"/>
        <family val="1"/>
      </rPr>
      <t>per woman</t>
    </r>
    <r>
      <rPr>
        <sz val="14"/>
        <color theme="1"/>
        <rFont val="Amasis MT Pro Black"/>
        <family val="1"/>
      </rPr>
      <t xml:space="preserve"> over three years - split by commissioner </t>
    </r>
  </si>
  <si>
    <r>
      <t xml:space="preserve">Net savings </t>
    </r>
    <r>
      <rPr>
        <u/>
        <sz val="14"/>
        <color theme="1"/>
        <rFont val="Amasis MT Pro Black"/>
        <family val="1"/>
      </rPr>
      <t>per cohort</t>
    </r>
    <r>
      <rPr>
        <sz val="14"/>
        <color theme="1"/>
        <rFont val="Amasis MT Pro Black"/>
        <family val="1"/>
      </rPr>
      <t xml:space="preserve"> over three years - split by commissioner </t>
    </r>
  </si>
  <si>
    <t xml:space="preserve">Please note: any discrepancies are rounding errors, relating to decimal places not included on this sheet. </t>
  </si>
  <si>
    <t>Pre-service costs to local public services per woman per year:</t>
  </si>
  <si>
    <r>
      <t xml:space="preserve">Percentage who progress with </t>
    </r>
    <r>
      <rPr>
        <i/>
        <sz val="11"/>
        <color theme="1"/>
        <rFont val="Calibri"/>
        <family val="2"/>
        <scheme val="minor"/>
      </rPr>
      <t>by and for</t>
    </r>
    <r>
      <rPr>
        <sz val="11"/>
        <color theme="1"/>
        <rFont val="Calibri"/>
        <family val="2"/>
        <scheme val="minor"/>
      </rPr>
      <t xml:space="preserve"> service</t>
    </r>
  </si>
  <si>
    <r>
      <t xml:space="preserve">Percentage of women who do not progress with </t>
    </r>
    <r>
      <rPr>
        <i/>
        <sz val="11"/>
        <color theme="1"/>
        <rFont val="Calibri"/>
        <family val="2"/>
        <scheme val="minor"/>
      </rPr>
      <t>by and for</t>
    </r>
    <r>
      <rPr>
        <sz val="11"/>
        <color theme="1"/>
        <rFont val="Calibri"/>
        <family val="2"/>
        <scheme val="minor"/>
      </rPr>
      <t xml:space="preserve"> service</t>
    </r>
  </si>
  <si>
    <r>
      <t xml:space="preserve">Cost of </t>
    </r>
    <r>
      <rPr>
        <i/>
        <sz val="11"/>
        <color theme="1"/>
        <rFont val="Calibri"/>
        <family val="2"/>
        <scheme val="minor"/>
      </rPr>
      <t>by and for</t>
    </r>
    <r>
      <rPr>
        <sz val="11"/>
        <color theme="1"/>
        <rFont val="Calibri"/>
        <family val="2"/>
        <scheme val="minor"/>
      </rPr>
      <t xml:space="preserve"> service</t>
    </r>
  </si>
  <si>
    <r>
      <t xml:space="preserve">Gains made net of cost to the commissioner of funding </t>
    </r>
    <r>
      <rPr>
        <i/>
        <sz val="11"/>
        <color theme="1"/>
        <rFont val="Calibri"/>
        <family val="2"/>
        <scheme val="minor"/>
      </rPr>
      <t>by and for</t>
    </r>
    <r>
      <rPr>
        <sz val="11"/>
        <color theme="1"/>
        <rFont val="Calibri"/>
        <family val="2"/>
        <scheme val="minor"/>
      </rPr>
      <t xml:space="preserve"> service</t>
    </r>
  </si>
  <si>
    <r>
      <t xml:space="preserve">Attribution to </t>
    </r>
    <r>
      <rPr>
        <i/>
        <sz val="11"/>
        <color theme="1"/>
        <rFont val="Calibri"/>
        <family val="2"/>
        <scheme val="minor"/>
      </rPr>
      <t xml:space="preserve">by and for </t>
    </r>
    <r>
      <rPr>
        <sz val="11"/>
        <color theme="1"/>
        <rFont val="Calibri"/>
        <family val="2"/>
        <scheme val="minor"/>
      </rPr>
      <t>service</t>
    </r>
  </si>
  <si>
    <r>
      <t xml:space="preserve">Savings made </t>
    </r>
    <r>
      <rPr>
        <u/>
        <sz val="11"/>
        <rFont val="Calibri"/>
        <family val="2"/>
        <scheme val="minor"/>
      </rPr>
      <t>per woman</t>
    </r>
    <r>
      <rPr>
        <sz val="11"/>
        <rFont val="Calibri"/>
        <family val="2"/>
        <scheme val="minor"/>
      </rPr>
      <t xml:space="preserve"> attributable to </t>
    </r>
    <r>
      <rPr>
        <i/>
        <sz val="11"/>
        <rFont val="Calibri"/>
        <family val="2"/>
        <scheme val="minor"/>
      </rPr>
      <t>by and for</t>
    </r>
    <r>
      <rPr>
        <sz val="11"/>
        <rFont val="Calibri"/>
        <family val="2"/>
        <scheme val="minor"/>
      </rPr>
      <t xml:space="preserve"> service</t>
    </r>
  </si>
  <si>
    <t>Total costs to public services in Year 1 following service</t>
  </si>
  <si>
    <t>Total costs to public services in Year 2 following service</t>
  </si>
  <si>
    <t>Costs to public services over 3 years (before and without by and for service)</t>
  </si>
  <si>
    <t>Total costs to public services in Year 3 following service</t>
  </si>
  <si>
    <t>Costs to local public services over 3 years (with service)</t>
  </si>
  <si>
    <r>
      <t xml:space="preserve">
The grey tabs include the source material on which the Dashboard calculation is based. These tabs do not need to be used or amended and they have been locked.
</t>
    </r>
    <r>
      <rPr>
        <b/>
        <sz val="11"/>
        <color theme="1"/>
        <rFont val="Calibri"/>
        <family val="2"/>
        <scheme val="minor"/>
      </rPr>
      <t xml:space="preserve">Public service costs
</t>
    </r>
    <r>
      <rPr>
        <sz val="11"/>
        <color theme="1"/>
        <rFont val="Calibri"/>
        <family val="2"/>
        <scheme val="minor"/>
      </rPr>
      <t xml:space="preserve">The tabs "Health and Mental Health", "MARAC", "Housing", "Policing and Criminal Justice", and "Children" explain what public service pathways are included in the cost benefit calculation and how these costs are constructed and inflated to 2023 figures. The "References" tab provides references for all costs. 
</t>
    </r>
    <r>
      <rPr>
        <b/>
        <sz val="11"/>
        <color theme="1"/>
        <rFont val="Calibri"/>
        <family val="2"/>
        <scheme val="minor"/>
      </rPr>
      <t>Calculation</t>
    </r>
    <r>
      <rPr>
        <sz val="11"/>
        <color theme="1"/>
        <rFont val="Calibri"/>
        <family val="2"/>
        <scheme val="minor"/>
      </rPr>
      <t xml:space="preserve">
This tab is the detailed calculation on which the Dashboard is based. It includes hard inputs on severity and prevalence (columns F - O) of public service demand. These are based on case studies from the Changemakers No Recourse No Safety partners. The calculation goes on to show (columns S - X) the extent to which over three years the </t>
    </r>
    <r>
      <rPr>
        <i/>
        <sz val="11"/>
        <color theme="1"/>
        <rFont val="Calibri"/>
        <family val="2"/>
        <scheme val="minor"/>
      </rPr>
      <t>by and for</t>
    </r>
    <r>
      <rPr>
        <sz val="11"/>
        <color theme="1"/>
        <rFont val="Calibri"/>
        <family val="2"/>
        <scheme val="minor"/>
      </rPr>
      <t xml:space="preserve"> service affects demand on public services. This includes reductions and rises in demand over time.
</t>
    </r>
    <r>
      <rPr>
        <b/>
        <sz val="11"/>
        <color theme="1"/>
        <rFont val="Calibri"/>
        <family val="2"/>
        <scheme val="minor"/>
      </rPr>
      <t xml:space="preserve">Inflation
</t>
    </r>
    <r>
      <rPr>
        <sz val="11"/>
        <color theme="1"/>
        <rFont val="Calibri"/>
        <family val="2"/>
        <scheme val="minor"/>
      </rPr>
      <t xml:space="preserve">This tab has the hard inputs of inflation indices used to inflate public service costs to 2023 levels. 
</t>
    </r>
  </si>
  <si>
    <r>
      <t xml:space="preserve">
</t>
    </r>
    <r>
      <rPr>
        <sz val="11"/>
        <color theme="1"/>
        <rFont val="Calibri"/>
        <family val="2"/>
        <scheme val="minor"/>
      </rPr>
      <t xml:space="preserve">The </t>
    </r>
    <r>
      <rPr>
        <i/>
        <sz val="11"/>
        <color theme="1"/>
        <rFont val="Calibri"/>
        <family val="2"/>
        <scheme val="minor"/>
      </rPr>
      <t>by and for</t>
    </r>
    <r>
      <rPr>
        <sz val="11"/>
        <color theme="1"/>
        <rFont val="Calibri"/>
        <family val="2"/>
        <scheme val="minor"/>
      </rPr>
      <t xml:space="preserve"> service modelled in the calculator is based on the Changemakers No Recourse No Safety partners' services. This includes a mix of: intersectional advocacy; refuge for up to 20 weeks; counselling; and peer support groups. This includes the cost of securing a Destitute Domestic Violence Concessions (DDVC, now known as MVDAC). The average cost per woman in 2023/24 is £8,132. 
The outcome of the </t>
    </r>
    <r>
      <rPr>
        <i/>
        <sz val="11"/>
        <color theme="1"/>
        <rFont val="Calibri"/>
        <family val="2"/>
        <scheme val="minor"/>
      </rPr>
      <t>by and for service</t>
    </r>
    <r>
      <rPr>
        <sz val="11"/>
        <color theme="1"/>
        <rFont val="Calibri"/>
        <family val="2"/>
        <scheme val="minor"/>
      </rPr>
      <t xml:space="preserve"> is the sustained safety of the victim-survivors and their dependent children.
</t>
    </r>
  </si>
  <si>
    <r>
      <t xml:space="preserve">
</t>
    </r>
    <r>
      <rPr>
        <sz val="11"/>
        <color theme="1"/>
        <rFont val="Calibri"/>
        <family val="2"/>
        <scheme val="minor"/>
      </rPr>
      <t xml:space="preserve">The Cost Benefit Calculator can be adjusted to reflect local needs. It has four adjustable features into which you can add your local data. These are highlighted in yellow in columns C and I of the "Dashboard" tab. The four adjustable inputs are:
</t>
    </r>
    <r>
      <rPr>
        <b/>
        <sz val="11"/>
        <color theme="1"/>
        <rFont val="Calibri"/>
        <family val="2"/>
        <scheme val="minor"/>
      </rPr>
      <t xml:space="preserve">Number of women
</t>
    </r>
    <r>
      <rPr>
        <sz val="11"/>
        <color theme="1"/>
        <rFont val="Calibri"/>
        <family val="2"/>
        <scheme val="minor"/>
      </rPr>
      <t xml:space="preserve">The annual number of VAWG victim-survivors with NRPF you project will use the </t>
    </r>
    <r>
      <rPr>
        <i/>
        <sz val="11"/>
        <color theme="1"/>
        <rFont val="Calibri"/>
        <family val="2"/>
        <scheme val="minor"/>
      </rPr>
      <t xml:space="preserve">by and for </t>
    </r>
    <r>
      <rPr>
        <sz val="11"/>
        <color theme="1"/>
        <rFont val="Calibri"/>
        <family val="2"/>
        <scheme val="minor"/>
      </rPr>
      <t xml:space="preserve">service
</t>
    </r>
    <r>
      <rPr>
        <b/>
        <sz val="11"/>
        <color theme="1"/>
        <rFont val="Calibri"/>
        <family val="2"/>
        <scheme val="minor"/>
      </rPr>
      <t xml:space="preserve">Percentage of women progressing with the service
</t>
    </r>
    <r>
      <rPr>
        <sz val="11"/>
        <color theme="1"/>
        <rFont val="Calibri"/>
        <family val="2"/>
        <scheme val="minor"/>
      </rPr>
      <t xml:space="preserve">The proportion of women known to the service who are able to engage and progress towards safety and other positive outcomes
</t>
    </r>
    <r>
      <rPr>
        <b/>
        <sz val="11"/>
        <color theme="1"/>
        <rFont val="Calibri"/>
        <family val="2"/>
        <scheme val="minor"/>
      </rPr>
      <t xml:space="preserve">Service costs
</t>
    </r>
    <r>
      <rPr>
        <sz val="11"/>
        <color theme="1"/>
        <rFont val="Calibri"/>
        <family val="2"/>
        <scheme val="minor"/>
      </rPr>
      <t xml:space="preserve">Reflecting variation in local costs, service offer, and inflation
</t>
    </r>
    <r>
      <rPr>
        <b/>
        <sz val="11"/>
        <color theme="1"/>
        <rFont val="Calibri"/>
        <family val="2"/>
        <scheme val="minor"/>
      </rPr>
      <t xml:space="preserve">Attribution
</t>
    </r>
    <r>
      <rPr>
        <sz val="11"/>
        <color theme="1"/>
        <rFont val="Calibri"/>
        <family val="2"/>
        <scheme val="minor"/>
      </rPr>
      <t xml:space="preserve">The proportion of impact on public services attributable to the </t>
    </r>
    <r>
      <rPr>
        <i/>
        <sz val="11"/>
        <color theme="1"/>
        <rFont val="Calibri"/>
        <family val="2"/>
        <scheme val="minor"/>
      </rPr>
      <t xml:space="preserve">by and for </t>
    </r>
    <r>
      <rPr>
        <sz val="11"/>
        <color theme="1"/>
        <rFont val="Calibri"/>
        <family val="2"/>
        <scheme val="minor"/>
      </rPr>
      <t xml:space="preserve">service. This includes all changes, including increases as well as decreases in costs and demand 
</t>
    </r>
  </si>
  <si>
    <r>
      <t xml:space="preserve">
</t>
    </r>
    <r>
      <rPr>
        <sz val="11"/>
        <color theme="1"/>
        <rFont val="Calibri"/>
        <family val="2"/>
        <scheme val="minor"/>
      </rPr>
      <t xml:space="preserve">This is a Cost Benefit Calculator designed to show the cost effectiveness of funding </t>
    </r>
    <r>
      <rPr>
        <i/>
        <sz val="11"/>
        <color theme="1"/>
        <rFont val="Calibri"/>
        <family val="2"/>
        <scheme val="minor"/>
      </rPr>
      <t>by and for</t>
    </r>
    <r>
      <rPr>
        <sz val="11"/>
        <color theme="1"/>
        <rFont val="Calibri"/>
        <family val="2"/>
        <scheme val="minor"/>
      </rPr>
      <t xml:space="preserve"> services for victim-survivors of violence against women and girls (VAWG) subject to the No Recourse to Public Funds (NRPF) condition. For brevity, we refer to this population as 'victim-survivors' in this Cost Benefit Calculator. 
The Cost Benefit Calculator is designed with adjustable inputs so local commissioners and decision-makers can understand the cost effectiveness specific to their local situation. 
The Cost Benefit Calculator shows net savings accrued over three years from the time of referral to the </t>
    </r>
    <r>
      <rPr>
        <i/>
        <sz val="11"/>
        <color theme="1"/>
        <rFont val="Calibri"/>
        <family val="2"/>
        <scheme val="minor"/>
      </rPr>
      <t>by and for service</t>
    </r>
    <r>
      <rPr>
        <sz val="11"/>
        <color theme="1"/>
        <rFont val="Calibri"/>
        <family val="2"/>
        <scheme val="minor"/>
      </rPr>
      <t>. The net savings specific to each relevant local commissioners are shown: NHS, mental health, children's social services, housing and homelessness services, policing, and MARACs. 
The net savings shown are the average per woman. Within this average is included that proportion of the cohort who do not enagge or successfully move towards outcomes, and victim-survivors with a range of needs and barriers to safety.</t>
    </r>
  </si>
  <si>
    <r>
      <rPr>
        <sz val="11"/>
        <color theme="1"/>
        <rFont val="Calibri"/>
        <family val="2"/>
        <scheme val="minor"/>
      </rPr>
      <t xml:space="preserve">
This  Cost Benefit Calculator is based on the case studies and service interventions of the Change Makers No Recourse No Safety partners: Southall Black Sisters, Latin American Women's Rights Service, Safety4Sisters, Ubuntu Women Shelter and The Angelou Centre. The partners are long-established ending-violence against women and girls (VAWG) organisations led, governed, designed and delivered </t>
    </r>
    <r>
      <rPr>
        <i/>
        <sz val="11"/>
        <color theme="1"/>
        <rFont val="Calibri"/>
        <family val="2"/>
        <scheme val="minor"/>
      </rPr>
      <t>by and for</t>
    </r>
    <r>
      <rPr>
        <sz val="11"/>
        <color theme="1"/>
        <rFont val="Calibri"/>
        <family val="2"/>
        <scheme val="minor"/>
      </rPr>
      <t xml:space="preserve"> Black, minoritised and migrant women. Collectively the partners support around 1,000 VAWG victim-survivors with No Recourse to Public Funds (NRPF) each year. This makes them among the UK's foremost experts in understanding and addressing the needs and outcomes of VAWG victim-survivors with NRPF.</t>
    </r>
    <r>
      <rPr>
        <b/>
        <sz val="11"/>
        <color theme="1"/>
        <rFont val="Calibri"/>
        <family val="2"/>
        <scheme val="minor"/>
      </rPr>
      <t xml:space="preserve">
</t>
    </r>
  </si>
  <si>
    <r>
      <t>Cost benefit analysis of</t>
    </r>
    <r>
      <rPr>
        <i/>
        <sz val="14"/>
        <rFont val="Amasis MT Pro Black"/>
        <family val="1"/>
      </rPr>
      <t xml:space="preserve"> by and for </t>
    </r>
    <r>
      <rPr>
        <sz val="14"/>
        <rFont val="Amasis MT Pro Black"/>
        <family val="1"/>
      </rPr>
      <t>services with VAWG survivors with NRPF</t>
    </r>
  </si>
  <si>
    <r>
      <t xml:space="preserve">Cost to public services without </t>
    </r>
    <r>
      <rPr>
        <i/>
        <sz val="11"/>
        <color theme="1"/>
        <rFont val="Calibri"/>
        <family val="2"/>
        <scheme val="minor"/>
      </rPr>
      <t>by and for</t>
    </r>
    <r>
      <rPr>
        <sz val="11"/>
        <color theme="1"/>
        <rFont val="Calibri"/>
        <family val="2"/>
        <scheme val="minor"/>
      </rPr>
      <t xml:space="preserve"> service</t>
    </r>
  </si>
  <si>
    <r>
      <t xml:space="preserve">Cost to public services with </t>
    </r>
    <r>
      <rPr>
        <i/>
        <sz val="11"/>
        <color theme="1"/>
        <rFont val="Calibri"/>
        <family val="2"/>
        <scheme val="minor"/>
      </rPr>
      <t>by and for</t>
    </r>
    <r>
      <rPr>
        <sz val="11"/>
        <color theme="1"/>
        <rFont val="Calibri"/>
        <family val="2"/>
        <scheme val="minor"/>
      </rPr>
      <t xml:space="preserve"> service</t>
    </r>
  </si>
  <si>
    <r>
      <t xml:space="preserve">Costs to local public services (without </t>
    </r>
    <r>
      <rPr>
        <i/>
        <sz val="14"/>
        <color theme="1"/>
        <rFont val="Amasis MT Pro Black"/>
        <family val="1"/>
      </rPr>
      <t xml:space="preserve">by and for </t>
    </r>
    <r>
      <rPr>
        <sz val="14"/>
        <color theme="1"/>
        <rFont val="Amasis MT Pro Black"/>
        <family val="1"/>
      </rPr>
      <t>service)</t>
    </r>
  </si>
  <si>
    <r>
      <t xml:space="preserve">Costs to local public services (with </t>
    </r>
    <r>
      <rPr>
        <i/>
        <sz val="14"/>
        <color theme="1"/>
        <rFont val="Amasis MT Pro Black"/>
        <family val="1"/>
      </rPr>
      <t xml:space="preserve">by and for </t>
    </r>
    <r>
      <rPr>
        <sz val="14"/>
        <color theme="1"/>
        <rFont val="Amasis MT Pro Black"/>
        <family val="1"/>
      </rPr>
      <t>service)</t>
    </r>
  </si>
  <si>
    <r>
      <t xml:space="preserve">Reduction in costs due to </t>
    </r>
    <r>
      <rPr>
        <i/>
        <sz val="14"/>
        <color theme="1"/>
        <rFont val="Amasis MT Pro Black"/>
        <family val="1"/>
      </rPr>
      <t xml:space="preserve">by and for </t>
    </r>
    <r>
      <rPr>
        <sz val="14"/>
        <color theme="1"/>
        <rFont val="Amasis MT Pro Black"/>
        <family val="1"/>
      </rPr>
      <t>service</t>
    </r>
  </si>
  <si>
    <r>
      <t xml:space="preserve">Women progressing with </t>
    </r>
    <r>
      <rPr>
        <sz val="11"/>
        <color theme="1"/>
        <rFont val="Calibri"/>
        <family val="2"/>
        <scheme val="minor"/>
      </rPr>
      <t xml:space="preserve">by and for </t>
    </r>
    <r>
      <rPr>
        <i/>
        <sz val="11"/>
        <color theme="1"/>
        <rFont val="Calibri"/>
        <family val="2"/>
        <scheme val="minor"/>
      </rPr>
      <t>service</t>
    </r>
  </si>
  <si>
    <r>
      <t xml:space="preserve">Department of Health (2012) </t>
    </r>
    <r>
      <rPr>
        <i/>
        <sz val="12"/>
        <color theme="1"/>
        <rFont val="Aptos"/>
        <family val="2"/>
      </rPr>
      <t>National Schedule of NHS Reference Costs</t>
    </r>
    <r>
      <rPr>
        <sz val="12"/>
        <color theme="1"/>
        <rFont val="Aptos"/>
        <family val="2"/>
      </rPr>
      <t>. London: Department of Health</t>
    </r>
    <r>
      <rPr>
        <b/>
        <sz val="12"/>
        <color theme="1"/>
        <rFont val="Aptos"/>
        <family val="2"/>
      </rPr>
      <t xml:space="preserve"> </t>
    </r>
  </si>
  <si>
    <t>Guy’s and St Thomas’ Private Healthcare, ‘Maternity – Maternity Prices and Packages’ (Guy’s and St Thomas’ Private Healthcare, retrieved 2023) [online]</t>
  </si>
  <si>
    <t>Heeks, M., Reed, S., Tafsiri, M., and Prince, S. (2018) The Economic and Social Costs of Crime. Second Edition. London: Home Office [online]</t>
  </si>
  <si>
    <t>Holmes, L. (2021) Children’s Social Care Cost Pressures and Variations in Unit Costs. London: Department for Education [online]</t>
  </si>
  <si>
    <t>Jones, K., Weatherly, H., Birch, S., Castelli, A., Chalkley, M., Dargan, A., Forder, J., Gao, M., Hinde, S., Markham, S. Ogunleye, D., Premji, S., and Roland, D. (2022) Unit Costs of Health and Social Care. United Kingdom: Personal Social Services Research Unit at the University of Kent and Centre for Health Economics at the University of York [online]</t>
  </si>
  <si>
    <t xml:space="preserve">Jones, K., and Burns, A. (2021) Unit Costs of Health and Social Care 2021. Kent: Personal Social Services Research Unit at the University of Kent [online] </t>
  </si>
  <si>
    <t>Yeowell, G., Greenhalgh, S., and Selfe, J., ‘Back Pain Costs the NHS Nearly £5 Billion, Physiotherapists have an Ever-increasing Role to Play in Relieving Strain on Services’ (Manchester Metropolitan University, 14th December 2020) [online]</t>
  </si>
  <si>
    <r>
      <t xml:space="preserve">Knight, M., Tuffnell, D., Kenyon, S., Shakespeare, J., Gray, R., Kurinczuk, J. J. (eds) on behalf of MBRRACE-UK (2016) </t>
    </r>
    <r>
      <rPr>
        <i/>
        <sz val="12"/>
        <color theme="1"/>
        <rFont val="Aptos"/>
        <family val="2"/>
      </rPr>
      <t>Saving Lives, Improving Mothers’ Care: Surveillance of Maternal Deaths in the UK 2011-13 and Lessons Learned to Inform Maternity Care from the UK and Ireland. Confidential Enquiries into Maternal Deaths and Morbidity 2009-13</t>
    </r>
    <r>
      <rPr>
        <sz val="12"/>
        <color theme="1"/>
        <rFont val="Aptos"/>
        <family val="2"/>
      </rPr>
      <t>. Oxford: National Perinatal Epidemiology Unit at the University of Oxford</t>
    </r>
  </si>
  <si>
    <t>Milton Keynes University Hospital NHS Foundation Trust, ‘Antenatal Care’ (NHS, 2023) [online]</t>
  </si>
  <si>
    <t>National Institute for Health and Care Excellence (2010) Pregnancy and Complex Social Factors: A Model for Service Provision for Pregnant Women with Complex Social Factors. Clinical Guideline [CG110]. London: National Institute for Health and Care Excellence [online]</t>
  </si>
  <si>
    <t>Office for National Statistics (2022) Domestic Abuse Prevalence and Trends, England and Wales: Year Ending March 2022. Wales: Office for National Statistics [online]</t>
  </si>
  <si>
    <t>Oliver, R., Alexander, B., Roe, S., and Wlasny, M. (2019) The Economic and Social Costs of Domestic Abuse. London: Home Office [online]</t>
  </si>
  <si>
    <t>Pleace, N. (2015) At What Cost? An Estimation of the Financial Costs of Single Homelessness in the UK. London: Crisis [online]</t>
  </si>
  <si>
    <t>Relph, S., Delaney, L., Melaugh, A., Vieira, M., Sandall, J., Khalil, A., Pasupathy, D., and Healey, A. (2020) ‘Costing the Impact of Interventions During Pregnancy in the UK: A Systematic Review of Economic Evaluations.’ BMJ Open, 10:e040022 [online]</t>
  </si>
  <si>
    <r>
      <t xml:space="preserve">Ride, J., Kasteridis, P., Gutacker, N., Aragon, M. J. A., and Jacobs, R. (2020) ‘Healthcare Costs for People with Serious Mental Illness in England: An Analysis of Costs Across Primary Care, Hospital Care, and Specialist Mental Healthcare.’ </t>
    </r>
    <r>
      <rPr>
        <i/>
        <sz val="12"/>
        <color theme="1"/>
        <rFont val="Aptos"/>
        <family val="2"/>
      </rPr>
      <t>Applied Health Economics and Health Policy</t>
    </r>
    <r>
      <rPr>
        <sz val="12"/>
        <color theme="1"/>
        <rFont val="Aptos"/>
        <family val="2"/>
      </rPr>
      <t>, 18(2), 177-188</t>
    </r>
  </si>
  <si>
    <t>Scanlon, K., Whitehead, C., Edge, A., and Udagawa, C. (2019) The Cost of Homelessness Support Services in London. London: London School of Economics and London Councils [online]</t>
  </si>
  <si>
    <t>Shelter (2010) Value for Money in Housing Options and Homelessness Services. London: Shelter [online]</t>
  </si>
  <si>
    <t>The King’s Fund, ‘Key facts and figures about the NHS’ (The King’s Fund, 4th May 2023) [online]</t>
  </si>
  <si>
    <r>
      <t xml:space="preserve">Tsiachristas, A., McDaid, D., Casey, D., Brand, F., Leal, J., Park, A., Geulayov, G., and Hawton, K. (2017) ‘General Hospital Costs in England of Medical and Psychiatric Care for Patients who Self-harm: A Retrospective Analysis.’ </t>
    </r>
    <r>
      <rPr>
        <i/>
        <sz val="12"/>
        <color theme="1"/>
        <rFont val="Aptos"/>
        <family val="2"/>
      </rPr>
      <t>Lancet Psychiatry</t>
    </r>
    <r>
      <rPr>
        <sz val="12"/>
        <color theme="1"/>
        <rFont val="Aptos"/>
        <family val="2"/>
      </rPr>
      <t>, 4(10), 759-767</t>
    </r>
  </si>
  <si>
    <r>
      <t xml:space="preserve">Walby, S. (2004) </t>
    </r>
    <r>
      <rPr>
        <i/>
        <sz val="12"/>
        <color theme="1"/>
        <rFont val="Aptos"/>
        <family val="2"/>
      </rPr>
      <t xml:space="preserve">The Cost of Domestic Violence. </t>
    </r>
    <r>
      <rPr>
        <sz val="12"/>
        <color theme="1"/>
        <rFont val="Aptos"/>
        <family val="2"/>
      </rPr>
      <t>London: Women and Equality Unit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</si>
</sst>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quot;£&quot;#,##0"/>
    <numFmt numFmtId="165" formatCode="&quot;£&quot;#,##0.00"/>
    <numFmt numFmtId="166" formatCode="_-* #,##0_-;\-* #,##0_-;_-* &quot;-&quot;??_-;_-@_-"/>
    <numFmt numFmtId="167" formatCode="0.0%"/>
    <numFmt numFmtId="168" formatCode="0.00000"/>
    <numFmt numFmtId="169" formatCode="0.00000000%"/>
  </numFmts>
  <fonts count="4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rgb="FFFF0000"/>
      <name val="Calibri"/>
      <family val="2"/>
      <scheme val="minor"/>
    </font>
    <font>
      <sz val="11"/>
      <name val="Calibri"/>
      <family val="2"/>
      <scheme val="minor"/>
    </font>
    <font>
      <i/>
      <sz val="11"/>
      <color theme="1"/>
      <name val="Calibri"/>
      <family val="2"/>
      <scheme val="minor"/>
    </font>
    <font>
      <b/>
      <sz val="14"/>
      <name val="Calibri"/>
      <family val="2"/>
      <scheme val="minor"/>
    </font>
    <font>
      <sz val="14"/>
      <color theme="1"/>
      <name val="Calibri"/>
      <family val="2"/>
      <scheme val="minor"/>
    </font>
    <font>
      <sz val="10"/>
      <color theme="1"/>
      <name val="Arial"/>
      <family val="2"/>
    </font>
    <font>
      <b/>
      <sz val="10"/>
      <color theme="1"/>
      <name val="Calibri"/>
      <family val="2"/>
      <scheme val="minor"/>
    </font>
    <font>
      <u/>
      <sz val="10"/>
      <color theme="10"/>
      <name val="Arial"/>
      <family val="2"/>
    </font>
    <font>
      <b/>
      <sz val="11"/>
      <name val="Calibri"/>
      <family val="2"/>
      <scheme val="minor"/>
    </font>
    <font>
      <i/>
      <sz val="11"/>
      <name val="Calibri"/>
      <family val="2"/>
      <scheme val="minor"/>
    </font>
    <font>
      <b/>
      <sz val="11"/>
      <color rgb="FFFF0000"/>
      <name val="Calibri"/>
      <family val="2"/>
      <scheme val="minor"/>
    </font>
    <font>
      <b/>
      <u/>
      <sz val="11"/>
      <color theme="1"/>
      <name val="Calibri"/>
      <family val="2"/>
      <scheme val="minor"/>
    </font>
    <font>
      <i/>
      <sz val="14"/>
      <color theme="1"/>
      <name val="Calibri"/>
      <family val="2"/>
      <scheme val="minor"/>
    </font>
    <font>
      <b/>
      <u/>
      <sz val="11"/>
      <name val="Calibri"/>
      <family val="2"/>
      <scheme val="minor"/>
    </font>
    <font>
      <sz val="8"/>
      <name val="Calibri"/>
      <family val="2"/>
      <scheme val="minor"/>
    </font>
    <font>
      <sz val="28"/>
      <color theme="1"/>
      <name val="Arial"/>
      <family val="2"/>
    </font>
    <font>
      <b/>
      <sz val="14"/>
      <color theme="1"/>
      <name val="Calibri"/>
      <family val="2"/>
    </font>
    <font>
      <sz val="14"/>
      <color theme="1"/>
      <name val="Amasis MT Pro Black"/>
      <family val="1"/>
    </font>
    <font>
      <sz val="10"/>
      <color theme="1"/>
      <name val="Calibri"/>
      <family val="2"/>
      <scheme val="minor"/>
    </font>
    <font>
      <b/>
      <sz val="9"/>
      <color indexed="81"/>
      <name val="Tahoma"/>
      <family val="2"/>
    </font>
    <font>
      <sz val="9"/>
      <color indexed="81"/>
      <name val="Tahoma"/>
      <family val="2"/>
    </font>
    <font>
      <b/>
      <sz val="14"/>
      <color theme="1"/>
      <name val="Amasis MT Pro Black"/>
      <family val="1"/>
    </font>
    <font>
      <sz val="11"/>
      <color theme="1"/>
      <name val="Amasis MT Pro Black"/>
      <family val="1"/>
    </font>
    <font>
      <b/>
      <sz val="14"/>
      <name val="Amasis MT Pro Black"/>
      <family val="1"/>
    </font>
    <font>
      <sz val="14"/>
      <name val="Amasis MT Pro Black"/>
      <family val="1"/>
    </font>
    <font>
      <u/>
      <sz val="11"/>
      <color theme="10"/>
      <name val="Calibri"/>
      <family val="2"/>
      <scheme val="minor"/>
    </font>
    <font>
      <sz val="10"/>
      <name val="Arial"/>
    </font>
    <font>
      <i/>
      <sz val="14"/>
      <color theme="1"/>
      <name val="Amasis MT Pro Black"/>
      <family val="1"/>
    </font>
    <font>
      <sz val="11"/>
      <color theme="2" tint="-0.499984740745262"/>
      <name val="Calibri"/>
      <family val="2"/>
      <scheme val="minor"/>
    </font>
    <font>
      <b/>
      <i/>
      <sz val="11"/>
      <color theme="2" tint="-0.499984740745262"/>
      <name val="Calibri"/>
      <family val="2"/>
      <scheme val="minor"/>
    </font>
    <font>
      <b/>
      <sz val="11"/>
      <color theme="2" tint="-0.499984740745262"/>
      <name val="Calibri"/>
      <family val="2"/>
      <scheme val="minor"/>
    </font>
    <font>
      <u/>
      <sz val="14"/>
      <color theme="1"/>
      <name val="Amasis MT Pro Black"/>
      <family val="1"/>
    </font>
    <font>
      <u/>
      <sz val="11"/>
      <name val="Calibri"/>
      <family val="2"/>
      <scheme val="minor"/>
    </font>
    <font>
      <i/>
      <sz val="14"/>
      <name val="Amasis MT Pro Black"/>
      <family val="1"/>
    </font>
    <font>
      <sz val="12"/>
      <color theme="1"/>
      <name val="Aptos"/>
      <family val="2"/>
    </font>
    <font>
      <i/>
      <sz val="12"/>
      <color theme="1"/>
      <name val="Aptos"/>
      <family val="2"/>
    </font>
    <font>
      <b/>
      <sz val="12"/>
      <color theme="1"/>
      <name val="Aptos"/>
      <family val="2"/>
    </font>
  </fonts>
  <fills count="1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CC99FF"/>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s>
  <cellStyleXfs count="10">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xf numFmtId="0" fontId="31" fillId="0" borderId="0"/>
  </cellStyleXfs>
  <cellXfs count="293">
    <xf numFmtId="0" fontId="0" fillId="0" borderId="0" xfId="0"/>
    <xf numFmtId="0" fontId="0" fillId="0" borderId="0" xfId="0" applyAlignment="1">
      <alignment wrapText="1"/>
    </xf>
    <xf numFmtId="0" fontId="0" fillId="0" borderId="1" xfId="0" applyBorder="1" applyAlignment="1">
      <alignment wrapText="1"/>
    </xf>
    <xf numFmtId="0" fontId="5" fillId="0" borderId="1" xfId="0" applyFont="1" applyBorder="1" applyAlignment="1">
      <alignment wrapText="1"/>
    </xf>
    <xf numFmtId="0" fontId="6" fillId="0" borderId="1" xfId="0" applyFont="1" applyBorder="1" applyAlignment="1">
      <alignment wrapText="1"/>
    </xf>
    <xf numFmtId="0" fontId="3" fillId="0" borderId="0" xfId="0" applyFont="1" applyAlignment="1">
      <alignment wrapText="1"/>
    </xf>
    <xf numFmtId="0" fontId="3" fillId="0" borderId="0" xfId="0" applyFont="1"/>
    <xf numFmtId="164" fontId="0" fillId="0" borderId="0" xfId="0" applyNumberFormat="1" applyAlignment="1">
      <alignment wrapText="1"/>
    </xf>
    <xf numFmtId="0" fontId="0" fillId="0" borderId="1" xfId="0" applyBorder="1"/>
    <xf numFmtId="0" fontId="0" fillId="0" borderId="5" xfId="0" applyBorder="1" applyAlignment="1">
      <alignment wrapText="1"/>
    </xf>
    <xf numFmtId="0" fontId="0" fillId="0" borderId="2" xfId="0" applyBorder="1" applyAlignment="1">
      <alignment wrapText="1"/>
    </xf>
    <xf numFmtId="0" fontId="13" fillId="0" borderId="0" xfId="0" applyFont="1" applyAlignment="1">
      <alignment wrapText="1"/>
    </xf>
    <xf numFmtId="0" fontId="0" fillId="0" borderId="1" xfId="0" applyBorder="1" applyAlignment="1">
      <alignment horizontal="left" wrapText="1"/>
    </xf>
    <xf numFmtId="0" fontId="7" fillId="0" borderId="0" xfId="0" applyFont="1"/>
    <xf numFmtId="164" fontId="0" fillId="0" borderId="8" xfId="0" applyNumberFormat="1" applyBorder="1" applyAlignment="1">
      <alignment wrapText="1"/>
    </xf>
    <xf numFmtId="0" fontId="4" fillId="8" borderId="8" xfId="0" applyFont="1" applyFill="1" applyBorder="1" applyAlignment="1">
      <alignment horizontal="center" vertical="center" wrapText="1"/>
    </xf>
    <xf numFmtId="164" fontId="0" fillId="0" borderId="0" xfId="0" applyNumberFormat="1"/>
    <xf numFmtId="0" fontId="5" fillId="0" borderId="0" xfId="0" applyFont="1" applyAlignment="1">
      <alignment wrapText="1"/>
    </xf>
    <xf numFmtId="0" fontId="9"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13" xfId="0" applyFont="1" applyBorder="1" applyAlignment="1">
      <alignment wrapText="1"/>
    </xf>
    <xf numFmtId="0" fontId="13" fillId="0" borderId="17" xfId="0" applyFont="1" applyBorder="1" applyAlignment="1">
      <alignment wrapText="1"/>
    </xf>
    <xf numFmtId="164" fontId="0" fillId="0" borderId="17" xfId="0" applyNumberFormat="1" applyBorder="1" applyAlignment="1">
      <alignment wrapText="1"/>
    </xf>
    <xf numFmtId="0" fontId="13" fillId="0" borderId="9" xfId="0" applyFont="1" applyBorder="1" applyAlignment="1">
      <alignment wrapText="1"/>
    </xf>
    <xf numFmtId="164" fontId="0" fillId="0" borderId="9" xfId="0" applyNumberFormat="1" applyBorder="1" applyAlignment="1">
      <alignment wrapText="1"/>
    </xf>
    <xf numFmtId="0" fontId="3" fillId="0" borderId="17" xfId="0" applyFont="1" applyBorder="1" applyAlignment="1">
      <alignment wrapText="1"/>
    </xf>
    <xf numFmtId="164" fontId="0" fillId="0" borderId="22" xfId="0" applyNumberFormat="1" applyBorder="1" applyAlignment="1">
      <alignment wrapText="1"/>
    </xf>
    <xf numFmtId="164" fontId="0" fillId="0" borderId="21" xfId="0" applyNumberFormat="1" applyBorder="1" applyAlignment="1">
      <alignment wrapText="1"/>
    </xf>
    <xf numFmtId="164" fontId="0" fillId="0" borderId="26" xfId="0" applyNumberFormat="1" applyBorder="1" applyAlignment="1">
      <alignment wrapText="1"/>
    </xf>
    <xf numFmtId="164" fontId="6" fillId="0" borderId="21" xfId="0" applyNumberFormat="1" applyFont="1" applyBorder="1" applyAlignment="1">
      <alignment wrapText="1"/>
    </xf>
    <xf numFmtId="164" fontId="6" fillId="0" borderId="0" xfId="0" applyNumberFormat="1" applyFont="1" applyAlignment="1">
      <alignment wrapText="1"/>
    </xf>
    <xf numFmtId="164" fontId="6" fillId="0" borderId="8" xfId="0" applyNumberFormat="1" applyFont="1" applyBorder="1" applyAlignment="1">
      <alignment wrapText="1"/>
    </xf>
    <xf numFmtId="164" fontId="6" fillId="0" borderId="13" xfId="0" applyNumberFormat="1" applyFont="1" applyBorder="1" applyAlignment="1">
      <alignment wrapText="1"/>
    </xf>
    <xf numFmtId="164" fontId="6" fillId="0" borderId="22" xfId="0" applyNumberFormat="1" applyFont="1" applyBorder="1" applyAlignment="1">
      <alignment wrapText="1"/>
    </xf>
    <xf numFmtId="164" fontId="6" fillId="0" borderId="17" xfId="0" applyNumberFormat="1" applyFont="1" applyBorder="1" applyAlignment="1">
      <alignment wrapText="1"/>
    </xf>
    <xf numFmtId="164" fontId="6" fillId="0" borderId="26" xfId="0" applyNumberFormat="1" applyFont="1" applyBorder="1" applyAlignment="1">
      <alignment wrapText="1"/>
    </xf>
    <xf numFmtId="0" fontId="4" fillId="4" borderId="22" xfId="0" applyFont="1" applyFill="1" applyBorder="1" applyAlignment="1">
      <alignment wrapText="1"/>
    </xf>
    <xf numFmtId="0" fontId="4" fillId="4" borderId="17" xfId="0" applyFont="1" applyFill="1" applyBorder="1" applyAlignment="1">
      <alignment wrapText="1"/>
    </xf>
    <xf numFmtId="0" fontId="4" fillId="4" borderId="24" xfId="0" applyFont="1" applyFill="1" applyBorder="1" applyAlignment="1">
      <alignment wrapText="1"/>
    </xf>
    <xf numFmtId="0" fontId="4" fillId="2" borderId="22" xfId="0" applyFont="1" applyFill="1" applyBorder="1" applyAlignment="1">
      <alignment wrapText="1"/>
    </xf>
    <xf numFmtId="0" fontId="4" fillId="2" borderId="17" xfId="0" applyFont="1" applyFill="1" applyBorder="1" applyAlignment="1">
      <alignment wrapText="1"/>
    </xf>
    <xf numFmtId="0" fontId="4" fillId="2" borderId="24" xfId="0" applyFont="1" applyFill="1" applyBorder="1" applyAlignment="1">
      <alignment wrapText="1"/>
    </xf>
    <xf numFmtId="164" fontId="0" fillId="0" borderId="22" xfId="0" applyNumberFormat="1" applyBorder="1"/>
    <xf numFmtId="164" fontId="6" fillId="0" borderId="24" xfId="0" applyNumberFormat="1" applyFont="1" applyBorder="1" applyAlignment="1">
      <alignment wrapText="1"/>
    </xf>
    <xf numFmtId="164" fontId="6" fillId="0" borderId="25" xfId="0" applyNumberFormat="1" applyFont="1" applyBorder="1" applyAlignment="1">
      <alignment wrapText="1"/>
    </xf>
    <xf numFmtId="164" fontId="0" fillId="0" borderId="24" xfId="0" applyNumberFormat="1" applyBorder="1"/>
    <xf numFmtId="164" fontId="0" fillId="0" borderId="21" xfId="0" applyNumberFormat="1" applyBorder="1"/>
    <xf numFmtId="164" fontId="0" fillId="0" borderId="25" xfId="0" applyNumberFormat="1" applyBorder="1"/>
    <xf numFmtId="164" fontId="0" fillId="0" borderId="26" xfId="0" applyNumberFormat="1" applyBorder="1"/>
    <xf numFmtId="164" fontId="0" fillId="0" borderId="27" xfId="0" applyNumberFormat="1" applyBorder="1"/>
    <xf numFmtId="164" fontId="0" fillId="0" borderId="8" xfId="0" applyNumberFormat="1" applyBorder="1"/>
    <xf numFmtId="164" fontId="0" fillId="0" borderId="7" xfId="0" applyNumberFormat="1" applyBorder="1"/>
    <xf numFmtId="165" fontId="0" fillId="0" borderId="24" xfId="0" applyNumberFormat="1" applyBorder="1"/>
    <xf numFmtId="165" fontId="0" fillId="0" borderId="25" xfId="0" applyNumberFormat="1" applyBorder="1"/>
    <xf numFmtId="165" fontId="0" fillId="0" borderId="27" xfId="0" applyNumberFormat="1" applyBorder="1"/>
    <xf numFmtId="165" fontId="0" fillId="0" borderId="7" xfId="0" applyNumberFormat="1" applyBorder="1"/>
    <xf numFmtId="0" fontId="4" fillId="9" borderId="28" xfId="0" applyFont="1" applyFill="1" applyBorder="1" applyAlignment="1">
      <alignment wrapText="1"/>
    </xf>
    <xf numFmtId="165" fontId="0" fillId="0" borderId="0" xfId="0" applyNumberFormat="1"/>
    <xf numFmtId="0" fontId="6" fillId="0" borderId="0" xfId="0" applyFont="1"/>
    <xf numFmtId="164" fontId="6" fillId="0" borderId="21" xfId="0" applyNumberFormat="1" applyFont="1" applyBorder="1"/>
    <xf numFmtId="164" fontId="6" fillId="0" borderId="25" xfId="0" applyNumberFormat="1" applyFont="1" applyBorder="1"/>
    <xf numFmtId="165" fontId="6" fillId="0" borderId="25" xfId="0" applyNumberFormat="1" applyFont="1" applyBorder="1"/>
    <xf numFmtId="0" fontId="0" fillId="0" borderId="29" xfId="0" applyBorder="1"/>
    <xf numFmtId="0" fontId="0" fillId="0" borderId="30" xfId="0" applyBorder="1"/>
    <xf numFmtId="0" fontId="6" fillId="0" borderId="29" xfId="0" applyFont="1" applyBorder="1"/>
    <xf numFmtId="0" fontId="17" fillId="0" borderId="23" xfId="0" applyFont="1" applyBorder="1" applyAlignment="1">
      <alignment wrapText="1"/>
    </xf>
    <xf numFmtId="164" fontId="0" fillId="0" borderId="17" xfId="0" applyNumberFormat="1" applyBorder="1"/>
    <xf numFmtId="164" fontId="6" fillId="0" borderId="0" xfId="0" applyNumberFormat="1" applyFont="1"/>
    <xf numFmtId="164" fontId="0" fillId="0" borderId="9" xfId="0" applyNumberFormat="1" applyBorder="1"/>
    <xf numFmtId="164" fontId="0" fillId="0" borderId="13" xfId="0" applyNumberFormat="1" applyBorder="1"/>
    <xf numFmtId="0" fontId="4" fillId="11" borderId="22" xfId="0" applyFont="1" applyFill="1" applyBorder="1" applyAlignment="1">
      <alignment wrapText="1"/>
    </xf>
    <xf numFmtId="164" fontId="6" fillId="0" borderId="9" xfId="0" applyNumberFormat="1" applyFont="1" applyBorder="1"/>
    <xf numFmtId="164" fontId="6" fillId="0" borderId="27" xfId="0" applyNumberFormat="1" applyFont="1" applyBorder="1"/>
    <xf numFmtId="0" fontId="4" fillId="10" borderId="8" xfId="0" applyFont="1" applyFill="1" applyBorder="1" applyAlignment="1">
      <alignment wrapText="1"/>
    </xf>
    <xf numFmtId="0" fontId="4" fillId="10" borderId="13" xfId="0" applyFont="1" applyFill="1" applyBorder="1" applyAlignment="1">
      <alignment wrapText="1"/>
    </xf>
    <xf numFmtId="0" fontId="4" fillId="9" borderId="24" xfId="0" applyFont="1" applyFill="1" applyBorder="1" applyAlignment="1">
      <alignment wrapText="1"/>
    </xf>
    <xf numFmtId="0" fontId="4" fillId="8" borderId="8" xfId="0" applyFont="1" applyFill="1" applyBorder="1" applyAlignment="1">
      <alignment wrapText="1"/>
    </xf>
    <xf numFmtId="0" fontId="4" fillId="8" borderId="13" xfId="0" applyFont="1" applyFill="1" applyBorder="1" applyAlignment="1">
      <alignment wrapText="1"/>
    </xf>
    <xf numFmtId="0" fontId="4" fillId="13" borderId="8" xfId="0" applyFont="1" applyFill="1" applyBorder="1" applyAlignment="1">
      <alignment wrapText="1"/>
    </xf>
    <xf numFmtId="0" fontId="4" fillId="13" borderId="7" xfId="0" applyFont="1" applyFill="1" applyBorder="1" applyAlignment="1">
      <alignment wrapText="1"/>
    </xf>
    <xf numFmtId="164" fontId="0" fillId="0" borderId="29" xfId="0" applyNumberFormat="1" applyBorder="1" applyAlignment="1">
      <alignment wrapText="1"/>
    </xf>
    <xf numFmtId="2" fontId="6" fillId="0" borderId="0" xfId="0" applyNumberFormat="1" applyFont="1" applyAlignment="1">
      <alignment wrapText="1"/>
    </xf>
    <xf numFmtId="2" fontId="6" fillId="0" borderId="25" xfId="0" applyNumberFormat="1" applyFont="1" applyBorder="1" applyAlignment="1">
      <alignment wrapText="1"/>
    </xf>
    <xf numFmtId="165" fontId="0" fillId="7" borderId="28" xfId="0" applyNumberFormat="1" applyFill="1" applyBorder="1"/>
    <xf numFmtId="165" fontId="0" fillId="7" borderId="23" xfId="0" applyNumberFormat="1" applyFill="1" applyBorder="1"/>
    <xf numFmtId="2" fontId="6" fillId="0" borderId="21" xfId="0" applyNumberFormat="1" applyFont="1" applyBorder="1" applyAlignment="1">
      <alignment wrapText="1"/>
    </xf>
    <xf numFmtId="2" fontId="6" fillId="0" borderId="27" xfId="0" applyNumberFormat="1" applyFont="1" applyBorder="1" applyAlignment="1">
      <alignment wrapText="1"/>
    </xf>
    <xf numFmtId="0" fontId="20" fillId="0" borderId="0" xfId="0" applyFont="1" applyAlignment="1">
      <alignment horizontal="left" vertical="center" indent="2" readingOrder="1"/>
    </xf>
    <xf numFmtId="2" fontId="6" fillId="0" borderId="22" xfId="0" applyNumberFormat="1" applyFont="1" applyBorder="1" applyAlignment="1">
      <alignment wrapText="1"/>
    </xf>
    <xf numFmtId="2" fontId="6" fillId="0" borderId="17" xfId="0" applyNumberFormat="1" applyFont="1" applyBorder="1" applyAlignment="1">
      <alignment wrapText="1"/>
    </xf>
    <xf numFmtId="2" fontId="6" fillId="0" borderId="24" xfId="0" applyNumberFormat="1" applyFont="1" applyBorder="1" applyAlignment="1">
      <alignment wrapText="1"/>
    </xf>
    <xf numFmtId="2" fontId="6" fillId="0" borderId="26" xfId="0" applyNumberFormat="1" applyFont="1" applyBorder="1" applyAlignment="1">
      <alignment wrapText="1"/>
    </xf>
    <xf numFmtId="2" fontId="6" fillId="0" borderId="9" xfId="0" applyNumberFormat="1" applyFont="1" applyBorder="1" applyAlignment="1">
      <alignment wrapText="1"/>
    </xf>
    <xf numFmtId="0" fontId="3" fillId="0" borderId="0" xfId="1" applyNumberFormat="1" applyFont="1" applyAlignment="1">
      <alignment wrapText="1"/>
    </xf>
    <xf numFmtId="0" fontId="17" fillId="0" borderId="22" xfId="0" applyFont="1" applyBorder="1" applyAlignment="1">
      <alignment wrapText="1"/>
    </xf>
    <xf numFmtId="0" fontId="3" fillId="0" borderId="22" xfId="0" applyFont="1" applyBorder="1" applyAlignment="1">
      <alignment wrapText="1"/>
    </xf>
    <xf numFmtId="0" fontId="3" fillId="0" borderId="24" xfId="0" applyFont="1" applyBorder="1" applyAlignment="1">
      <alignment wrapText="1"/>
    </xf>
    <xf numFmtId="0" fontId="3" fillId="0" borderId="21" xfId="0" applyFont="1" applyBorder="1" applyAlignment="1">
      <alignment wrapText="1"/>
    </xf>
    <xf numFmtId="0" fontId="3" fillId="0" borderId="25" xfId="0" applyFont="1" applyBorder="1" applyAlignment="1">
      <alignment wrapText="1"/>
    </xf>
    <xf numFmtId="0" fontId="3" fillId="0" borderId="28" xfId="0" applyFont="1" applyBorder="1" applyAlignment="1">
      <alignment wrapText="1"/>
    </xf>
    <xf numFmtId="0" fontId="3" fillId="0" borderId="13" xfId="0" applyFont="1" applyBorder="1" applyAlignment="1">
      <alignment wrapText="1"/>
    </xf>
    <xf numFmtId="9" fontId="3" fillId="0" borderId="0" xfId="1" applyFont="1" applyFill="1" applyBorder="1" applyAlignment="1">
      <alignment wrapText="1"/>
    </xf>
    <xf numFmtId="0" fontId="3" fillId="0" borderId="29" xfId="0" applyFont="1" applyBorder="1" applyAlignment="1">
      <alignment wrapText="1"/>
    </xf>
    <xf numFmtId="9" fontId="0" fillId="0" borderId="22" xfId="1" applyFont="1" applyBorder="1" applyAlignment="1">
      <alignment wrapText="1"/>
    </xf>
    <xf numFmtId="9" fontId="0" fillId="0" borderId="21" xfId="0" applyNumberFormat="1" applyBorder="1" applyAlignment="1">
      <alignment wrapText="1"/>
    </xf>
    <xf numFmtId="9" fontId="6" fillId="0" borderId="21" xfId="0" applyNumberFormat="1" applyFont="1" applyBorder="1" applyAlignment="1">
      <alignment wrapText="1"/>
    </xf>
    <xf numFmtId="9" fontId="0" fillId="0" borderId="26" xfId="0" applyNumberFormat="1" applyBorder="1" applyAlignment="1">
      <alignment wrapText="1"/>
    </xf>
    <xf numFmtId="9" fontId="0" fillId="0" borderId="22" xfId="0" applyNumberFormat="1" applyBorder="1" applyAlignment="1">
      <alignment wrapText="1"/>
    </xf>
    <xf numFmtId="9" fontId="6" fillId="0" borderId="26" xfId="0" applyNumberFormat="1" applyFont="1" applyBorder="1" applyAlignment="1">
      <alignment wrapText="1"/>
    </xf>
    <xf numFmtId="9" fontId="0" fillId="0" borderId="8" xfId="0" applyNumberFormat="1" applyBorder="1" applyAlignment="1">
      <alignment wrapText="1"/>
    </xf>
    <xf numFmtId="9" fontId="0" fillId="0" borderId="21" xfId="0" applyNumberFormat="1" applyBorder="1"/>
    <xf numFmtId="9" fontId="6" fillId="0" borderId="21" xfId="0" applyNumberFormat="1" applyFont="1" applyBorder="1"/>
    <xf numFmtId="9" fontId="0" fillId="0" borderId="26" xfId="0" applyNumberFormat="1" applyBorder="1"/>
    <xf numFmtId="9" fontId="0" fillId="0" borderId="22" xfId="0" applyNumberFormat="1" applyBorder="1"/>
    <xf numFmtId="9" fontId="6" fillId="0" borderId="26" xfId="0" applyNumberFormat="1" applyFont="1" applyBorder="1"/>
    <xf numFmtId="9" fontId="0" fillId="0" borderId="8" xfId="0" applyNumberFormat="1" applyBorder="1"/>
    <xf numFmtId="9" fontId="0" fillId="0" borderId="0" xfId="0" applyNumberFormat="1"/>
    <xf numFmtId="9" fontId="6" fillId="0" borderId="0" xfId="0" applyNumberFormat="1" applyFont="1"/>
    <xf numFmtId="9" fontId="0" fillId="0" borderId="9" xfId="0" applyNumberFormat="1" applyBorder="1"/>
    <xf numFmtId="9" fontId="0" fillId="0" borderId="17" xfId="0" applyNumberFormat="1" applyBorder="1"/>
    <xf numFmtId="9" fontId="0" fillId="0" borderId="13" xfId="0" applyNumberFormat="1" applyBorder="1"/>
    <xf numFmtId="166" fontId="3" fillId="0" borderId="21" xfId="6" applyNumberFormat="1" applyFont="1" applyFill="1" applyBorder="1" applyAlignment="1">
      <alignment wrapText="1"/>
    </xf>
    <xf numFmtId="166" fontId="0" fillId="0" borderId="0" xfId="0" applyNumberFormat="1"/>
    <xf numFmtId="43" fontId="0" fillId="0" borderId="0" xfId="0" applyNumberFormat="1"/>
    <xf numFmtId="9" fontId="0" fillId="0" borderId="0" xfId="0" applyNumberFormat="1" applyAlignment="1">
      <alignment wrapText="1"/>
    </xf>
    <xf numFmtId="164" fontId="0" fillId="0" borderId="1" xfId="0" applyNumberFormat="1" applyBorder="1" applyAlignment="1">
      <alignment wrapText="1"/>
    </xf>
    <xf numFmtId="6" fontId="0" fillId="0" borderId="1" xfId="0" applyNumberFormat="1" applyBorder="1" applyAlignment="1">
      <alignment wrapText="1"/>
    </xf>
    <xf numFmtId="0" fontId="16" fillId="0" borderId="1" xfId="0" applyFont="1" applyBorder="1" applyAlignment="1">
      <alignment wrapText="1"/>
    </xf>
    <xf numFmtId="0" fontId="0" fillId="0" borderId="11" xfId="0" applyBorder="1" applyAlignment="1">
      <alignment wrapText="1"/>
    </xf>
    <xf numFmtId="0" fontId="0" fillId="0" borderId="11" xfId="0" applyBorder="1"/>
    <xf numFmtId="0" fontId="0" fillId="0" borderId="12" xfId="0" applyBorder="1"/>
    <xf numFmtId="0" fontId="0" fillId="0" borderId="15" xfId="0" applyBorder="1"/>
    <xf numFmtId="164" fontId="6" fillId="0" borderId="1" xfId="0" applyNumberFormat="1" applyFont="1" applyBorder="1" applyAlignment="1">
      <alignment wrapText="1"/>
    </xf>
    <xf numFmtId="0" fontId="0" fillId="2" borderId="1" xfId="0" applyFill="1" applyBorder="1" applyAlignment="1">
      <alignment wrapText="1"/>
    </xf>
    <xf numFmtId="164" fontId="0" fillId="0" borderId="24" xfId="0" applyNumberFormat="1" applyBorder="1" applyAlignment="1">
      <alignment wrapText="1"/>
    </xf>
    <xf numFmtId="164" fontId="0" fillId="0" borderId="25" xfId="0" applyNumberFormat="1" applyBorder="1" applyAlignment="1">
      <alignment wrapText="1"/>
    </xf>
    <xf numFmtId="0" fontId="13" fillId="0" borderId="21" xfId="0" applyFont="1" applyBorder="1" applyAlignment="1">
      <alignment wrapText="1"/>
    </xf>
    <xf numFmtId="164" fontId="0" fillId="0" borderId="28" xfId="0" applyNumberFormat="1" applyBorder="1"/>
    <xf numFmtId="164" fontId="0" fillId="0" borderId="29" xfId="0" applyNumberFormat="1" applyBorder="1"/>
    <xf numFmtId="0" fontId="2" fillId="0" borderId="0" xfId="0" applyFont="1" applyAlignment="1">
      <alignment wrapText="1"/>
    </xf>
    <xf numFmtId="166" fontId="0" fillId="0" borderId="1" xfId="0" applyNumberFormat="1" applyBorder="1"/>
    <xf numFmtId="166" fontId="0" fillId="0" borderId="1" xfId="0" applyNumberFormat="1" applyBorder="1" applyAlignment="1">
      <alignment horizontal="right" indent="1"/>
    </xf>
    <xf numFmtId="0" fontId="0" fillId="2" borderId="0" xfId="0" applyFill="1"/>
    <xf numFmtId="0" fontId="0" fillId="2" borderId="0" xfId="0" applyFill="1" applyAlignment="1">
      <alignment wrapText="1"/>
    </xf>
    <xf numFmtId="0" fontId="22" fillId="7" borderId="1" xfId="0" applyFont="1" applyFill="1" applyBorder="1" applyAlignment="1">
      <alignment wrapText="1"/>
    </xf>
    <xf numFmtId="165" fontId="0" fillId="7" borderId="0" xfId="0" applyNumberFormat="1" applyFill="1" applyAlignment="1">
      <alignment wrapText="1"/>
    </xf>
    <xf numFmtId="165" fontId="0" fillId="0" borderId="28" xfId="0" applyNumberFormat="1" applyBorder="1"/>
    <xf numFmtId="165" fontId="0" fillId="0" borderId="17" xfId="0" applyNumberFormat="1" applyBorder="1"/>
    <xf numFmtId="165" fontId="0" fillId="0" borderId="22" xfId="0" applyNumberFormat="1" applyBorder="1"/>
    <xf numFmtId="0" fontId="26" fillId="0" borderId="0" xfId="0" applyFont="1" applyAlignment="1">
      <alignment wrapText="1"/>
    </xf>
    <xf numFmtId="0" fontId="26" fillId="0" borderId="10" xfId="0" applyFont="1" applyBorder="1" applyAlignment="1">
      <alignment wrapText="1"/>
    </xf>
    <xf numFmtId="0" fontId="28" fillId="0" borderId="10" xfId="0" applyFont="1" applyBorder="1" applyAlignment="1">
      <alignment wrapText="1"/>
    </xf>
    <xf numFmtId="0" fontId="26" fillId="7" borderId="0" xfId="0" applyFont="1" applyFill="1" applyAlignment="1">
      <alignment wrapText="1"/>
    </xf>
    <xf numFmtId="0" fontId="26" fillId="7" borderId="18" xfId="0" applyFont="1" applyFill="1" applyBorder="1" applyAlignment="1">
      <alignment wrapText="1"/>
    </xf>
    <xf numFmtId="0" fontId="27" fillId="7" borderId="0" xfId="0" applyFont="1" applyFill="1" applyAlignment="1">
      <alignment wrapText="1"/>
    </xf>
    <xf numFmtId="0" fontId="26" fillId="7" borderId="1" xfId="0" applyFont="1" applyFill="1" applyBorder="1" applyAlignment="1">
      <alignment wrapText="1"/>
    </xf>
    <xf numFmtId="0" fontId="26" fillId="0" borderId="1" xfId="0" applyFont="1" applyBorder="1" applyAlignment="1">
      <alignment wrapText="1"/>
    </xf>
    <xf numFmtId="0" fontId="26" fillId="2" borderId="0" xfId="0" applyFont="1" applyFill="1" applyAlignment="1">
      <alignment wrapText="1"/>
    </xf>
    <xf numFmtId="0" fontId="3" fillId="2" borderId="14" xfId="0" applyFont="1" applyFill="1" applyBorder="1" applyAlignment="1">
      <alignment wrapText="1"/>
    </xf>
    <xf numFmtId="0" fontId="4" fillId="2" borderId="14" xfId="0" applyFont="1" applyFill="1" applyBorder="1" applyAlignment="1">
      <alignment wrapText="1"/>
    </xf>
    <xf numFmtId="0" fontId="26" fillId="2" borderId="1" xfId="0" applyFont="1" applyFill="1" applyBorder="1" applyAlignment="1">
      <alignment wrapText="1"/>
    </xf>
    <xf numFmtId="0" fontId="3" fillId="2" borderId="1" xfId="0" applyFont="1" applyFill="1" applyBorder="1" applyAlignment="1">
      <alignment wrapText="1"/>
    </xf>
    <xf numFmtId="0" fontId="28" fillId="7" borderId="1" xfId="0" applyFont="1" applyFill="1" applyBorder="1" applyAlignment="1">
      <alignment wrapText="1"/>
    </xf>
    <xf numFmtId="0" fontId="29" fillId="7" borderId="0" xfId="0" applyFont="1" applyFill="1"/>
    <xf numFmtId="0" fontId="29" fillId="0" borderId="1" xfId="0" applyFont="1" applyBorder="1" applyAlignment="1">
      <alignment wrapText="1"/>
    </xf>
    <xf numFmtId="0" fontId="29" fillId="0" borderId="0" xfId="0" applyFont="1"/>
    <xf numFmtId="0" fontId="29" fillId="0" borderId="0" xfId="0" applyFont="1" applyAlignment="1">
      <alignment wrapText="1"/>
    </xf>
    <xf numFmtId="10" fontId="3" fillId="2" borderId="1" xfId="0" applyNumberFormat="1" applyFont="1" applyFill="1" applyBorder="1" applyAlignment="1">
      <alignment wrapText="1"/>
    </xf>
    <xf numFmtId="0" fontId="28" fillId="0" borderId="11" xfId="0" applyFont="1" applyBorder="1" applyAlignment="1">
      <alignment wrapText="1"/>
    </xf>
    <xf numFmtId="0" fontId="28" fillId="7" borderId="16" xfId="0" applyFont="1" applyFill="1" applyBorder="1" applyAlignment="1">
      <alignment wrapText="1"/>
    </xf>
    <xf numFmtId="0" fontId="28" fillId="7" borderId="17" xfId="0" applyFont="1" applyFill="1" applyBorder="1" applyAlignment="1">
      <alignment wrapText="1"/>
    </xf>
    <xf numFmtId="0" fontId="28" fillId="7" borderId="19" xfId="0" applyFont="1" applyFill="1" applyBorder="1" applyAlignment="1">
      <alignment wrapText="1"/>
    </xf>
    <xf numFmtId="0" fontId="28" fillId="7" borderId="18" xfId="0" applyFont="1" applyFill="1" applyBorder="1" applyAlignment="1">
      <alignment wrapText="1"/>
    </xf>
    <xf numFmtId="0" fontId="28" fillId="2" borderId="1" xfId="0" applyFont="1" applyFill="1" applyBorder="1" applyAlignment="1">
      <alignment wrapText="1"/>
    </xf>
    <xf numFmtId="0" fontId="4" fillId="2" borderId="31" xfId="0" applyFont="1" applyFill="1" applyBorder="1" applyAlignment="1">
      <alignment wrapText="1"/>
    </xf>
    <xf numFmtId="9" fontId="4" fillId="2" borderId="31" xfId="0" applyNumberFormat="1" applyFont="1" applyFill="1" applyBorder="1" applyAlignment="1">
      <alignment wrapText="1"/>
    </xf>
    <xf numFmtId="0" fontId="4" fillId="2" borderId="0" xfId="0" applyFont="1" applyFill="1" applyAlignment="1">
      <alignment wrapText="1"/>
    </xf>
    <xf numFmtId="0" fontId="4" fillId="2" borderId="33" xfId="0" applyFont="1" applyFill="1" applyBorder="1" applyAlignment="1">
      <alignment wrapText="1"/>
    </xf>
    <xf numFmtId="0" fontId="4" fillId="2" borderId="32" xfId="0" applyFont="1" applyFill="1" applyBorder="1" applyAlignment="1">
      <alignment wrapText="1"/>
    </xf>
    <xf numFmtId="164" fontId="6" fillId="0" borderId="11" xfId="0" applyNumberFormat="1" applyFont="1" applyBorder="1" applyAlignment="1">
      <alignment wrapText="1"/>
    </xf>
    <xf numFmtId="164" fontId="6" fillId="0" borderId="20" xfId="6" applyNumberFormat="1" applyFont="1" applyBorder="1" applyAlignment="1">
      <alignment wrapText="1"/>
    </xf>
    <xf numFmtId="0" fontId="29" fillId="7" borderId="1" xfId="0" applyFont="1" applyFill="1" applyBorder="1" applyAlignment="1">
      <alignment wrapText="1"/>
    </xf>
    <xf numFmtId="0" fontId="29" fillId="7" borderId="0" xfId="0" applyFont="1" applyFill="1" applyAlignment="1">
      <alignment wrapText="1"/>
    </xf>
    <xf numFmtId="0" fontId="15" fillId="2" borderId="1" xfId="0" applyFont="1" applyFill="1" applyBorder="1" applyAlignment="1">
      <alignment wrapText="1"/>
    </xf>
    <xf numFmtId="10" fontId="3" fillId="2" borderId="0" xfId="0" applyNumberFormat="1" applyFont="1" applyFill="1" applyAlignment="1">
      <alignment wrapText="1"/>
    </xf>
    <xf numFmtId="0" fontId="22" fillId="0" borderId="1" xfId="0" applyFont="1" applyBorder="1" applyAlignment="1">
      <alignment wrapText="1"/>
    </xf>
    <xf numFmtId="0" fontId="27" fillId="7" borderId="1" xfId="0" applyFont="1" applyFill="1" applyBorder="1" applyAlignment="1">
      <alignment wrapText="1"/>
    </xf>
    <xf numFmtId="0" fontId="22" fillId="2" borderId="1" xfId="0" applyFont="1" applyFill="1" applyBorder="1" applyAlignment="1">
      <alignment wrapText="1"/>
    </xf>
    <xf numFmtId="0" fontId="26" fillId="0" borderId="1" xfId="0" applyFont="1" applyBorder="1" applyAlignment="1">
      <alignment horizontal="left" wrapText="1"/>
    </xf>
    <xf numFmtId="0" fontId="0" fillId="2" borderId="6" xfId="0" applyFill="1" applyBorder="1" applyAlignment="1">
      <alignment horizontal="center" wrapText="1"/>
    </xf>
    <xf numFmtId="9" fontId="3" fillId="2" borderId="1" xfId="0" applyNumberFormat="1" applyFont="1" applyFill="1" applyBorder="1" applyAlignment="1">
      <alignment wrapText="1"/>
    </xf>
    <xf numFmtId="164" fontId="16" fillId="0" borderId="1" xfId="0" applyNumberFormat="1" applyFont="1" applyBorder="1" applyAlignment="1">
      <alignment wrapText="1"/>
    </xf>
    <xf numFmtId="164" fontId="0" fillId="0" borderId="1" xfId="0" applyNumberFormat="1" applyBorder="1" applyAlignment="1">
      <alignment horizontal="left" wrapText="1"/>
    </xf>
    <xf numFmtId="9" fontId="3" fillId="2" borderId="14" xfId="1" applyFont="1" applyFill="1" applyBorder="1" applyAlignment="1">
      <alignment wrapText="1"/>
    </xf>
    <xf numFmtId="9" fontId="3" fillId="2" borderId="14" xfId="0" applyNumberFormat="1" applyFont="1" applyFill="1" applyBorder="1" applyAlignment="1">
      <alignment wrapText="1"/>
    </xf>
    <xf numFmtId="9" fontId="3" fillId="2" borderId="1" xfId="1" applyFont="1" applyFill="1" applyBorder="1" applyAlignment="1">
      <alignment wrapText="1"/>
    </xf>
    <xf numFmtId="9" fontId="0" fillId="0" borderId="3" xfId="0" applyNumberFormat="1" applyBorder="1"/>
    <xf numFmtId="1" fontId="0" fillId="0" borderId="2" xfId="0" applyNumberFormat="1" applyBorder="1"/>
    <xf numFmtId="166" fontId="0" fillId="0" borderId="1" xfId="6" applyNumberFormat="1" applyFont="1" applyFill="1" applyBorder="1" applyAlignment="1">
      <alignment wrapText="1"/>
    </xf>
    <xf numFmtId="2" fontId="6" fillId="0" borderId="8" xfId="0" applyNumberFormat="1" applyFont="1" applyBorder="1" applyAlignment="1">
      <alignment wrapText="1"/>
    </xf>
    <xf numFmtId="2" fontId="6" fillId="0" borderId="13" xfId="0" applyNumberFormat="1" applyFont="1" applyBorder="1" applyAlignment="1">
      <alignment wrapText="1"/>
    </xf>
    <xf numFmtId="164" fontId="6" fillId="0" borderId="28" xfId="0" applyNumberFormat="1" applyFont="1" applyBorder="1" applyAlignment="1">
      <alignment wrapText="1"/>
    </xf>
    <xf numFmtId="164" fontId="6" fillId="0" borderId="29" xfId="0" applyNumberFormat="1" applyFont="1" applyBorder="1" applyAlignment="1">
      <alignment wrapText="1"/>
    </xf>
    <xf numFmtId="164" fontId="6" fillId="0" borderId="30" xfId="0" applyNumberFormat="1" applyFont="1" applyBorder="1" applyAlignment="1">
      <alignment wrapText="1"/>
    </xf>
    <xf numFmtId="9" fontId="3" fillId="0" borderId="21" xfId="0" applyNumberFormat="1" applyFont="1" applyBorder="1" applyAlignment="1">
      <alignment wrapText="1"/>
    </xf>
    <xf numFmtId="166" fontId="1" fillId="0" borderId="1" xfId="6" applyNumberFormat="1" applyFont="1" applyBorder="1"/>
    <xf numFmtId="166" fontId="1" fillId="0" borderId="1" xfId="6" applyNumberFormat="1" applyFont="1" applyFill="1" applyBorder="1"/>
    <xf numFmtId="0" fontId="23" fillId="11" borderId="0" xfId="2" applyFont="1" applyFill="1"/>
    <xf numFmtId="0" fontId="11" fillId="11" borderId="0" xfId="2" applyFont="1" applyFill="1"/>
    <xf numFmtId="9" fontId="23" fillId="11" borderId="0" xfId="1" applyFont="1" applyFill="1"/>
    <xf numFmtId="164" fontId="23" fillId="11" borderId="0" xfId="2" applyNumberFormat="1" applyFont="1" applyFill="1"/>
    <xf numFmtId="167" fontId="23" fillId="11" borderId="0" xfId="7" applyNumberFormat="1" applyFont="1" applyFill="1"/>
    <xf numFmtId="10" fontId="0" fillId="11" borderId="0" xfId="0" applyNumberFormat="1" applyFill="1"/>
    <xf numFmtId="0" fontId="0" fillId="11" borderId="0" xfId="0" applyFill="1"/>
    <xf numFmtId="169" fontId="23" fillId="11" borderId="0" xfId="2" applyNumberFormat="1" applyFont="1" applyFill="1"/>
    <xf numFmtId="10" fontId="23" fillId="11" borderId="0" xfId="1" applyNumberFormat="1" applyFont="1" applyFill="1"/>
    <xf numFmtId="168" fontId="23" fillId="11" borderId="0" xfId="2" applyNumberFormat="1" applyFont="1" applyFill="1"/>
    <xf numFmtId="0" fontId="22" fillId="10" borderId="1" xfId="0" applyFont="1" applyFill="1" applyBorder="1"/>
    <xf numFmtId="0" fontId="0" fillId="10" borderId="1" xfId="0" applyFill="1" applyBorder="1"/>
    <xf numFmtId="0" fontId="22" fillId="10" borderId="1" xfId="0" applyFont="1" applyFill="1" applyBorder="1" applyAlignment="1">
      <alignment wrapText="1"/>
    </xf>
    <xf numFmtId="0" fontId="0" fillId="10" borderId="1" xfId="0" applyFill="1" applyBorder="1" applyAlignment="1">
      <alignment wrapText="1"/>
    </xf>
    <xf numFmtId="166" fontId="0" fillId="10" borderId="1" xfId="0" applyNumberFormat="1" applyFill="1" applyBorder="1"/>
    <xf numFmtId="0" fontId="22" fillId="10" borderId="5" xfId="0" applyFont="1" applyFill="1" applyBorder="1" applyAlignment="1">
      <alignment wrapText="1"/>
    </xf>
    <xf numFmtId="0" fontId="22" fillId="10" borderId="6" xfId="0" applyFont="1" applyFill="1" applyBorder="1"/>
    <xf numFmtId="9" fontId="0" fillId="5" borderId="1" xfId="0" applyNumberFormat="1" applyFill="1" applyBorder="1"/>
    <xf numFmtId="1" fontId="0" fillId="5" borderId="1" xfId="0" applyNumberFormat="1" applyFill="1" applyBorder="1"/>
    <xf numFmtId="166" fontId="0" fillId="5" borderId="1" xfId="0" applyNumberFormat="1" applyFill="1" applyBorder="1"/>
    <xf numFmtId="0" fontId="22" fillId="10" borderId="3" xfId="0" applyFont="1" applyFill="1" applyBorder="1" applyAlignment="1">
      <alignment wrapText="1"/>
    </xf>
    <xf numFmtId="0" fontId="3" fillId="0" borderId="2" xfId="0" applyFont="1" applyBorder="1" applyAlignment="1">
      <alignment wrapText="1"/>
    </xf>
    <xf numFmtId="0" fontId="26" fillId="10" borderId="3" xfId="0" applyFont="1" applyFill="1" applyBorder="1" applyAlignment="1">
      <alignment wrapText="1"/>
    </xf>
    <xf numFmtId="0" fontId="3" fillId="0" borderId="33" xfId="0" applyFont="1" applyBorder="1" applyAlignment="1">
      <alignment wrapText="1"/>
    </xf>
    <xf numFmtId="0" fontId="26" fillId="10" borderId="33" xfId="0" applyFont="1" applyFill="1" applyBorder="1" applyAlignment="1">
      <alignment wrapText="1"/>
    </xf>
    <xf numFmtId="0" fontId="30" fillId="0" borderId="33" xfId="8" applyBorder="1" applyAlignment="1">
      <alignment wrapText="1"/>
    </xf>
    <xf numFmtId="0" fontId="22" fillId="14" borderId="0" xfId="0" applyFont="1" applyFill="1" applyAlignment="1">
      <alignment wrapText="1"/>
    </xf>
    <xf numFmtId="165" fontId="5" fillId="0" borderId="0" xfId="0" applyNumberFormat="1" applyFont="1" applyAlignment="1">
      <alignment wrapText="1"/>
    </xf>
    <xf numFmtId="165" fontId="0" fillId="0" borderId="0" xfId="0" applyNumberFormat="1" applyAlignment="1">
      <alignment wrapText="1"/>
    </xf>
    <xf numFmtId="1" fontId="3" fillId="0" borderId="21" xfId="0" applyNumberFormat="1" applyFont="1" applyBorder="1" applyAlignment="1">
      <alignment wrapText="1"/>
    </xf>
    <xf numFmtId="1" fontId="3" fillId="0" borderId="24" xfId="0" applyNumberFormat="1" applyFont="1" applyBorder="1" applyAlignment="1">
      <alignment wrapText="1"/>
    </xf>
    <xf numFmtId="9" fontId="0" fillId="0" borderId="25" xfId="1" applyFont="1" applyBorder="1"/>
    <xf numFmtId="9" fontId="0" fillId="0" borderId="0" xfId="1" applyFont="1"/>
    <xf numFmtId="0" fontId="6" fillId="10" borderId="1" xfId="0" applyFont="1" applyFill="1" applyBorder="1" applyAlignment="1">
      <alignment wrapText="1"/>
    </xf>
    <xf numFmtId="0" fontId="0" fillId="14" borderId="0" xfId="0" applyFill="1"/>
    <xf numFmtId="9" fontId="0" fillId="0" borderId="0" xfId="1" applyFont="1" applyAlignment="1">
      <alignment wrapText="1"/>
    </xf>
    <xf numFmtId="0" fontId="0" fillId="0" borderId="0" xfId="1" applyNumberFormat="1" applyFont="1" applyAlignment="1">
      <alignment wrapText="1"/>
    </xf>
    <xf numFmtId="165" fontId="9" fillId="0" borderId="0" xfId="0" applyNumberFormat="1" applyFont="1"/>
    <xf numFmtId="0" fontId="3" fillId="11" borderId="0" xfId="0" applyFont="1" applyFill="1" applyAlignment="1">
      <alignment horizontal="right" wrapText="1"/>
    </xf>
    <xf numFmtId="166" fontId="6" fillId="0" borderId="1" xfId="6" applyNumberFormat="1" applyFont="1" applyBorder="1"/>
    <xf numFmtId="0" fontId="28" fillId="0" borderId="1" xfId="0" applyFont="1" applyBorder="1" applyAlignment="1">
      <alignment wrapText="1"/>
    </xf>
    <xf numFmtId="1" fontId="0" fillId="0" borderId="0" xfId="0" applyNumberFormat="1"/>
    <xf numFmtId="0" fontId="33" fillId="14" borderId="0" xfId="0" applyFont="1" applyFill="1" applyAlignment="1">
      <alignment wrapText="1"/>
    </xf>
    <xf numFmtId="0" fontId="33" fillId="14" borderId="0" xfId="0" applyFont="1" applyFill="1"/>
    <xf numFmtId="0" fontId="34" fillId="14" borderId="0" xfId="0" applyFont="1" applyFill="1" applyAlignment="1">
      <alignment wrapText="1"/>
    </xf>
    <xf numFmtId="0" fontId="35" fillId="14" borderId="0" xfId="0" applyFont="1" applyFill="1" applyAlignment="1">
      <alignment wrapText="1"/>
    </xf>
    <xf numFmtId="9" fontId="33" fillId="14" borderId="0" xfId="0" applyNumberFormat="1" applyFont="1" applyFill="1" applyAlignment="1">
      <alignment wrapText="1"/>
    </xf>
    <xf numFmtId="166" fontId="33" fillId="14" borderId="0" xfId="0" applyNumberFormat="1" applyFont="1" applyFill="1"/>
    <xf numFmtId="0" fontId="33" fillId="14" borderId="0" xfId="0" applyFont="1" applyFill="1" applyAlignment="1">
      <alignment horizontal="right" wrapText="1"/>
    </xf>
    <xf numFmtId="3" fontId="0" fillId="0" borderId="0" xfId="0" applyNumberFormat="1"/>
    <xf numFmtId="0" fontId="22" fillId="0" borderId="0" xfId="0" applyFont="1" applyAlignment="1">
      <alignment wrapText="1"/>
    </xf>
    <xf numFmtId="0" fontId="22" fillId="15" borderId="14" xfId="0" applyFont="1" applyFill="1" applyBorder="1" applyAlignment="1">
      <alignment wrapText="1"/>
    </xf>
    <xf numFmtId="0" fontId="0" fillId="15" borderId="1" xfId="0" applyFill="1" applyBorder="1" applyAlignment="1">
      <alignment wrapText="1"/>
    </xf>
    <xf numFmtId="166" fontId="0" fillId="15" borderId="1" xfId="0" applyNumberFormat="1" applyFill="1" applyBorder="1"/>
    <xf numFmtId="0" fontId="7" fillId="0" borderId="0" xfId="0" applyFont="1" applyAlignment="1">
      <alignment wrapText="1"/>
    </xf>
    <xf numFmtId="0" fontId="26" fillId="6" borderId="3" xfId="0" applyFont="1" applyFill="1" applyBorder="1" applyAlignment="1">
      <alignment wrapText="1"/>
    </xf>
    <xf numFmtId="0" fontId="22" fillId="10" borderId="5" xfId="0" applyFont="1" applyFill="1" applyBorder="1" applyAlignment="1">
      <alignment horizontal="left"/>
    </xf>
    <xf numFmtId="0" fontId="22" fillId="10" borderId="6" xfId="0" applyFont="1" applyFill="1" applyBorder="1" applyAlignment="1">
      <alignment horizontal="left"/>
    </xf>
    <xf numFmtId="0" fontId="29" fillId="10" borderId="0" xfId="0" applyFont="1" applyFill="1" applyAlignment="1">
      <alignment horizontal="left" wrapText="1"/>
    </xf>
    <xf numFmtId="0" fontId="22" fillId="10" borderId="14" xfId="0" applyFont="1" applyFill="1" applyBorder="1" applyAlignment="1">
      <alignment horizontal="center"/>
    </xf>
    <xf numFmtId="0" fontId="22" fillId="10" borderId="0" xfId="0" applyFont="1" applyFill="1" applyAlignment="1">
      <alignment horizontal="center"/>
    </xf>
    <xf numFmtId="0" fontId="4" fillId="6" borderId="22"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12" borderId="22" xfId="0" applyFont="1" applyFill="1" applyBorder="1" applyAlignment="1">
      <alignment horizontal="center" vertical="center"/>
    </xf>
    <xf numFmtId="0" fontId="4" fillId="12" borderId="21" xfId="0" applyFont="1" applyFill="1" applyBorder="1" applyAlignment="1">
      <alignment horizontal="center" vertical="center"/>
    </xf>
    <xf numFmtId="0" fontId="4" fillId="0" borderId="26" xfId="0" applyFont="1" applyBorder="1" applyAlignment="1">
      <alignment horizontal="center" wrapText="1"/>
    </xf>
    <xf numFmtId="0" fontId="9" fillId="0" borderId="9" xfId="0" applyFont="1" applyBorder="1" applyAlignment="1">
      <alignment horizontal="center" wrapText="1"/>
    </xf>
    <xf numFmtId="0" fontId="9" fillId="0" borderId="13" xfId="0" applyFont="1" applyBorder="1" applyAlignment="1">
      <alignment horizontal="center" wrapText="1"/>
    </xf>
    <xf numFmtId="0" fontId="9" fillId="0" borderId="7" xfId="0" applyFont="1" applyBorder="1" applyAlignment="1">
      <alignment horizontal="center" wrapText="1"/>
    </xf>
    <xf numFmtId="0" fontId="17" fillId="0" borderId="22" xfId="0" applyFont="1" applyBorder="1" applyAlignment="1">
      <alignment horizontal="left" wrapText="1"/>
    </xf>
    <xf numFmtId="0" fontId="17" fillId="0" borderId="24" xfId="0" applyFont="1" applyBorder="1" applyAlignment="1">
      <alignment horizontal="left" wrapText="1"/>
    </xf>
    <xf numFmtId="0" fontId="4" fillId="7" borderId="22"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9" fillId="0" borderId="27" xfId="0" applyFont="1" applyBorder="1" applyAlignment="1">
      <alignment horizontal="center" wrapText="1"/>
    </xf>
    <xf numFmtId="0" fontId="21" fillId="0" borderId="0" xfId="0" applyFont="1" applyAlignment="1">
      <alignment horizontal="center" vertical="center" readingOrder="1"/>
    </xf>
    <xf numFmtId="0" fontId="4" fillId="3" borderId="2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0" fillId="2" borderId="5" xfId="0" applyFill="1" applyBorder="1" applyAlignment="1">
      <alignment horizontal="center" wrapText="1"/>
    </xf>
    <xf numFmtId="0" fontId="0" fillId="2" borderId="4" xfId="0" applyFill="1" applyBorder="1" applyAlignment="1">
      <alignment horizontal="center" wrapText="1"/>
    </xf>
    <xf numFmtId="0" fontId="0" fillId="2" borderId="6" xfId="0" applyFill="1" applyBorder="1" applyAlignment="1">
      <alignment horizontal="center" wrapText="1"/>
    </xf>
    <xf numFmtId="0" fontId="39" fillId="0" borderId="0" xfId="0" applyFont="1" applyAlignment="1">
      <alignment horizontal="left" vertical="center"/>
    </xf>
    <xf numFmtId="0" fontId="30" fillId="0" borderId="0" xfId="8" applyAlignment="1">
      <alignment horizontal="left" vertical="center"/>
    </xf>
  </cellXfs>
  <cellStyles count="10">
    <cellStyle name="Comma" xfId="6" builtinId="3"/>
    <cellStyle name="Hyperlink" xfId="8" builtinId="8"/>
    <cellStyle name="Hyperlink 2" xfId="3" xr:uid="{00000000-0005-0000-0000-000000000000}"/>
    <cellStyle name="Normal" xfId="0" builtinId="0"/>
    <cellStyle name="Normal 2" xfId="2" xr:uid="{00000000-0005-0000-0000-000002000000}"/>
    <cellStyle name="Normal 2 2" xfId="4" xr:uid="{EFF0BEDD-AE9D-4EBA-ADBF-A13F941A56F2}"/>
    <cellStyle name="Normal 3" xfId="9" xr:uid="{2D1817BE-11CF-418C-8E2E-D58287E51B21}"/>
    <cellStyle name="Percent" xfId="1" builtinId="5"/>
    <cellStyle name="Percent 2" xfId="5" xr:uid="{2E0DA5A2-6DE9-481F-9026-EA874A3256B6}"/>
    <cellStyle name="Percent 3" xfId="7" xr:uid="{934C1ADA-5B51-49D9-894C-E75DE2AFD279}"/>
  </cellStyles>
  <dxfs count="0"/>
  <tableStyles count="0" defaultTableStyle="TableStyleMedium2" defaultPivotStyle="PivotStyleLight16"/>
  <colors>
    <mruColors>
      <color rgb="FFFBFCD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GB">
                <a:solidFill>
                  <a:schemeClr val="tx1"/>
                </a:solidFill>
                <a:latin typeface="Amasis MT Pro Black" panose="02040A04050005020304" pitchFamily="18" charset="0"/>
              </a:rPr>
              <a:t>Net</a:t>
            </a:r>
            <a:r>
              <a:rPr lang="en-GB" baseline="0">
                <a:solidFill>
                  <a:schemeClr val="tx1"/>
                </a:solidFill>
                <a:latin typeface="Amasis MT Pro Black" panose="02040A04050005020304" pitchFamily="18" charset="0"/>
              </a:rPr>
              <a:t> savings per woman - three years </a:t>
            </a:r>
            <a:endParaRPr lang="en-GB">
              <a:solidFill>
                <a:schemeClr val="tx1"/>
              </a:solidFill>
              <a:latin typeface="Amasis MT Pro Black" panose="02040A04050005020304" pitchFamily="18" charset="0"/>
            </a:endParaRPr>
          </a:p>
          <a:p>
            <a:pPr>
              <a:defRPr/>
            </a:pPr>
            <a:endParaRPr lang="en-GB">
              <a:solidFill>
                <a:schemeClr val="tx1"/>
              </a:solidFill>
              <a:latin typeface="Amasis MT Pro Black" panose="02040A04050005020304" pitchFamily="18" charset="0"/>
            </a:endParaRPr>
          </a:p>
        </c:rich>
      </c:tx>
      <c:layout>
        <c:manualLayout>
          <c:xMode val="edge"/>
          <c:yMode val="edge"/>
          <c:x val="0.10859785145902723"/>
          <c:y val="8.6009516996289267E-4"/>
        </c:manualLayout>
      </c:layout>
      <c:overlay val="1"/>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A67F-441E-A61E-36F8122EBD3E}"/>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1-BF91-4F86-A045-3E206BE4D6AE}"/>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A67F-441E-A61E-36F8122EBD3E}"/>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3-BF91-4F86-A045-3E206BE4D6AE}"/>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2-BF91-4F86-A045-3E206BE4D6AE}"/>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4-BF91-4F86-A045-3E206BE4D6AE}"/>
              </c:ext>
            </c:extLst>
          </c:dPt>
          <c:dLbls>
            <c:dLbl>
              <c:idx val="1"/>
              <c:layout>
                <c:manualLayout>
                  <c:x val="7.7729263184876204E-2"/>
                  <c:y val="8.52682533592226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91-4F86-A045-3E206BE4D6AE}"/>
                </c:ext>
              </c:extLst>
            </c:dLbl>
            <c:dLbl>
              <c:idx val="3"/>
              <c:layout>
                <c:manualLayout>
                  <c:x val="-6.6498500033064178E-2"/>
                  <c:y val="-8.29875803191927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91-4F86-A045-3E206BE4D6AE}"/>
                </c:ext>
              </c:extLst>
            </c:dLbl>
            <c:dLbl>
              <c:idx val="4"/>
              <c:layout>
                <c:manualLayout>
                  <c:x val="-3.3467698760206131E-2"/>
                  <c:y val="-7.217301632872458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91-4F86-A045-3E206BE4D6AE}"/>
                </c:ext>
              </c:extLst>
            </c:dLbl>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Dashboard!$K$6:$K$11</c:f>
              <c:strCache>
                <c:ptCount val="6"/>
                <c:pt idx="0">
                  <c:v>NHS - physical health</c:v>
                </c:pt>
                <c:pt idx="1">
                  <c:v>NHS - mental health</c:v>
                </c:pt>
                <c:pt idx="2">
                  <c:v>MARAC</c:v>
                </c:pt>
                <c:pt idx="3">
                  <c:v>Housing and Homelessness</c:v>
                </c:pt>
                <c:pt idx="4">
                  <c:v>Policing</c:v>
                </c:pt>
                <c:pt idx="5">
                  <c:v>Children's services</c:v>
                </c:pt>
              </c:strCache>
            </c:strRef>
          </c:cat>
          <c:val>
            <c:numRef>
              <c:f>Dashboard!$P$6:$P$11</c:f>
              <c:numCache>
                <c:formatCode>_-* #,##0_-;\-* #,##0_-;_-* "-"??_-;_-@_-</c:formatCode>
                <c:ptCount val="6"/>
                <c:pt idx="0">
                  <c:v>11091</c:v>
                </c:pt>
                <c:pt idx="1">
                  <c:v>353</c:v>
                </c:pt>
                <c:pt idx="2">
                  <c:v>73</c:v>
                </c:pt>
                <c:pt idx="3">
                  <c:v>936</c:v>
                </c:pt>
                <c:pt idx="4">
                  <c:v>643</c:v>
                </c:pt>
                <c:pt idx="5">
                  <c:v>4928</c:v>
                </c:pt>
              </c:numCache>
            </c:numRef>
          </c:val>
          <c:extLst>
            <c:ext xmlns:c16="http://schemas.microsoft.com/office/drawing/2014/chart" uri="{C3380CC4-5D6E-409C-BE32-E72D297353CC}">
              <c16:uniqueId val="{00000000-BF91-4F86-A045-3E206BE4D6AE}"/>
            </c:ext>
          </c:extLst>
        </c:ser>
        <c:dLbls>
          <c:showLegendKey val="0"/>
          <c:showVal val="1"/>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GB" baseline="0">
                <a:latin typeface="Amasis MT Pro Black" panose="02040A04050005020304" pitchFamily="18" charset="0"/>
              </a:rPr>
              <a:t>Impact on Net Savings of Proportion of Women not attaining outcomes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scatterChart>
        <c:scatterStyle val="lineMarker"/>
        <c:varyColors val="0"/>
        <c:ser>
          <c:idx val="0"/>
          <c:order val="0"/>
          <c:tx>
            <c:v>Gains per woman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Dashboard!$C$44:$C$50</c:f>
              <c:numCache>
                <c:formatCode>0%</c:formatCode>
                <c:ptCount val="7"/>
                <c:pt idx="0">
                  <c:v>0</c:v>
                </c:pt>
                <c:pt idx="1">
                  <c:v>9.9999999999999978E-2</c:v>
                </c:pt>
                <c:pt idx="2">
                  <c:v>0.25</c:v>
                </c:pt>
                <c:pt idx="3">
                  <c:v>0.4</c:v>
                </c:pt>
                <c:pt idx="4">
                  <c:v>0.5</c:v>
                </c:pt>
                <c:pt idx="5">
                  <c:v>0.6</c:v>
                </c:pt>
                <c:pt idx="6">
                  <c:v>0.7</c:v>
                </c:pt>
              </c:numCache>
            </c:numRef>
          </c:xVal>
          <c:yVal>
            <c:numRef>
              <c:f>Dashboard!$D$44:$D$50</c:f>
              <c:numCache>
                <c:formatCode>_-* #,##0_-;\-* #,##0_-;_-* "-"??_-;_-@_-</c:formatCode>
                <c:ptCount val="7"/>
                <c:pt idx="0">
                  <c:v>35968.788481464551</c:v>
                </c:pt>
                <c:pt idx="1">
                  <c:v>32371.90963331809</c:v>
                </c:pt>
                <c:pt idx="2">
                  <c:v>26976.59136109841</c:v>
                </c:pt>
                <c:pt idx="3">
                  <c:v>21581.27308887873</c:v>
                </c:pt>
                <c:pt idx="4">
                  <c:v>17984.394240732276</c:v>
                </c:pt>
                <c:pt idx="5">
                  <c:v>14387.515392585821</c:v>
                </c:pt>
                <c:pt idx="6">
                  <c:v>10790.63654443937</c:v>
                </c:pt>
              </c:numCache>
            </c:numRef>
          </c:yVal>
          <c:smooth val="0"/>
          <c:extLst>
            <c:ext xmlns:c16="http://schemas.microsoft.com/office/drawing/2014/chart" uri="{C3380CC4-5D6E-409C-BE32-E72D297353CC}">
              <c16:uniqueId val="{00000000-1545-43ED-88E1-6F356722EF6D}"/>
            </c:ext>
          </c:extLst>
        </c:ser>
        <c:ser>
          <c:idx val="1"/>
          <c:order val="1"/>
          <c:tx>
            <c:v>Gains per woman net of service cost and attribution</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Dashboard!$C$44:$C$50</c:f>
              <c:numCache>
                <c:formatCode>0%</c:formatCode>
                <c:ptCount val="7"/>
                <c:pt idx="0">
                  <c:v>0</c:v>
                </c:pt>
                <c:pt idx="1">
                  <c:v>9.9999999999999978E-2</c:v>
                </c:pt>
                <c:pt idx="2">
                  <c:v>0.25</c:v>
                </c:pt>
                <c:pt idx="3">
                  <c:v>0.4</c:v>
                </c:pt>
                <c:pt idx="4">
                  <c:v>0.5</c:v>
                </c:pt>
                <c:pt idx="5">
                  <c:v>0.6</c:v>
                </c:pt>
                <c:pt idx="6">
                  <c:v>0.7</c:v>
                </c:pt>
              </c:numCache>
            </c:numRef>
          </c:xVal>
          <c:yVal>
            <c:numRef>
              <c:f>Dashboard!$E$44:$E$50</c:f>
              <c:numCache>
                <c:formatCode>_-* #,##0_-;\-* #,##0_-;_-* "-"??_-;_-@_-</c:formatCode>
                <c:ptCount val="7"/>
                <c:pt idx="0">
                  <c:v>25053.109633318098</c:v>
                </c:pt>
                <c:pt idx="1">
                  <c:v>21815.91866998628</c:v>
                </c:pt>
                <c:pt idx="2">
                  <c:v>16960.132224988571</c:v>
                </c:pt>
                <c:pt idx="3">
                  <c:v>12104.345779990857</c:v>
                </c:pt>
                <c:pt idx="4">
                  <c:v>8867.1548166590492</c:v>
                </c:pt>
                <c:pt idx="5">
                  <c:v>5629.9638533272391</c:v>
                </c:pt>
                <c:pt idx="6">
                  <c:v>2392.7728899954336</c:v>
                </c:pt>
              </c:numCache>
            </c:numRef>
          </c:yVal>
          <c:smooth val="0"/>
          <c:extLst>
            <c:ext xmlns:c16="http://schemas.microsoft.com/office/drawing/2014/chart" uri="{C3380CC4-5D6E-409C-BE32-E72D297353CC}">
              <c16:uniqueId val="{00000001-1545-43ED-88E1-6F356722EF6D}"/>
            </c:ext>
          </c:extLst>
        </c:ser>
        <c:dLbls>
          <c:showLegendKey val="0"/>
          <c:showVal val="0"/>
          <c:showCatName val="0"/>
          <c:showSerName val="0"/>
          <c:showPercent val="0"/>
          <c:showBubbleSize val="0"/>
        </c:dLbls>
        <c:axId val="1123209152"/>
        <c:axId val="1087859136"/>
      </c:scatterChart>
      <c:valAx>
        <c:axId val="11232091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087859136"/>
        <c:crosses val="autoZero"/>
        <c:crossBetween val="midCat"/>
      </c:valAx>
      <c:valAx>
        <c:axId val="108785913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232091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20934</xdr:colOff>
      <xdr:row>1</xdr:row>
      <xdr:rowOff>132581</xdr:rowOff>
    </xdr:from>
    <xdr:to>
      <xdr:col>9</xdr:col>
      <xdr:colOff>0</xdr:colOff>
      <xdr:row>15</xdr:row>
      <xdr:rowOff>7054</xdr:rowOff>
    </xdr:to>
    <xdr:graphicFrame macro="">
      <xdr:nvGraphicFramePr>
        <xdr:cNvPr id="2" name="Chart 1">
          <a:extLst>
            <a:ext uri="{FF2B5EF4-FFF2-40B4-BE49-F238E27FC236}">
              <a16:creationId xmlns:a16="http://schemas.microsoft.com/office/drawing/2014/main" id="{22823748-AB5D-0BA4-E34B-42B74D5BFD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1256</xdr:colOff>
      <xdr:row>1</xdr:row>
      <xdr:rowOff>125604</xdr:rowOff>
    </xdr:from>
    <xdr:to>
      <xdr:col>6</xdr:col>
      <xdr:colOff>6977</xdr:colOff>
      <xdr:row>15</xdr:row>
      <xdr:rowOff>20934</xdr:rowOff>
    </xdr:to>
    <xdr:graphicFrame macro="">
      <xdr:nvGraphicFramePr>
        <xdr:cNvPr id="3" name="Chart 2">
          <a:extLst>
            <a:ext uri="{FF2B5EF4-FFF2-40B4-BE49-F238E27FC236}">
              <a16:creationId xmlns:a16="http://schemas.microsoft.com/office/drawing/2014/main" id="{D9AD2521-FF79-C05E-7ADE-A76605EF40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b01.com\BWBDFS01\Users\sheilf\AppData\Local\Microsoft\Windows\Temporary%20Internet%20Files\Content.Outlook\URJXYVUK\Cost%20Mode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Inputs"/>
      <sheetName val="Cohort Inputs"/>
      <sheetName val="Financing"/>
      <sheetName val="Rev&amp;Costs"/>
      <sheetName val="Accounting"/>
      <sheetName val="InvestorFlows"/>
      <sheetName val="Qrtly FinStats"/>
      <sheetName val="Ann FinStats"/>
      <sheetName val="Checks"/>
      <sheetName val="Log"/>
      <sheetName val="Client data&gt;&gt;"/>
    </sheetNames>
    <sheetDataSet>
      <sheetData sheetId="0" refreshError="1"/>
      <sheetData sheetId="1">
        <row r="12">
          <cell r="D12">
            <v>365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Fiona Sheil" id="{D708C6A2-A936-4B75-88F1-761A23526DC8}" userId="9c4bede17328e4ef" providerId="Windows Live"/>
  <person displayName="Sanskriti" id="{43F0FC69-8DF3-4717-89FB-421657DEF521}" userId="S-1-5-21-1520095432-1827299560-942728403-463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4-01-15T14:16:58.42" personId="{43F0FC69-8DF3-4717-89FB-421657DEF521}" id="{6AB14A1D-22FD-4E53-A65C-017074592E60}">
    <text>To me, 'NRPF' is not visible in the title at first glance (unless I look at the tab above). If this is common across viewing platforms, can we alter it?</text>
  </threadedComment>
  <threadedComment ref="B2" dT="2024-01-30T13:12:08.23" personId="{D708C6A2-A936-4B75-88F1-761A23526DC8}" id="{1E73F493-2786-4AE7-884D-31F677380BFC}" parentId="{6AB14A1D-22FD-4E53-A65C-017074592E60}">
    <text>I can see it on my version so please amend it on yours</text>
  </threadedComment>
</ThreadedComments>
</file>

<file path=xl/threadedComments/threadedComment2.xml><?xml version="1.0" encoding="utf-8"?>
<ThreadedComments xmlns="http://schemas.microsoft.com/office/spreadsheetml/2018/threadedcomments" xmlns:x="http://schemas.openxmlformats.org/spreadsheetml/2006/main">
  <threadedComment ref="P8" dT="2023-10-16T14:54:33.69" personId="{D708C6A2-A936-4B75-88F1-761A23526DC8}" id="{F4FFE929-E0C0-46F5-BA1B-7D40BAB6AC2D}">
    <text>This was in the box above (Q7). Moved it below and that prompted signfiicnt change in helath calculation from a positive to a minus gain.</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3-11-07T14:32:30.64" personId="{D708C6A2-A936-4B75-88F1-761A23526DC8}" id="{C9669DB6-0B41-4CE1-B182-607B84717E26}" done="1">
    <text xml:space="preserve">This was originally listed as 2016 so the inflation needs re-doing for 2014/15
</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nice.org.uk/guidance/cg110" TargetMode="External"/><Relationship Id="rId13" Type="http://schemas.openxmlformats.org/officeDocument/2006/relationships/hyperlink" Target="https://www.londoncouncils.gov.uk/sites/default/files/LC%20final%20report%20-%20CA%20edit.pdf" TargetMode="External"/><Relationship Id="rId3" Type="http://schemas.openxmlformats.org/officeDocument/2006/relationships/hyperlink" Target="https://assets.publishing.service.gov.uk/media/5ffc26a3e90e0763a31280d1/Children_s_social_care_cost_pressures_and_variations_in_unit_costs_Jan_2021.pdf" TargetMode="External"/><Relationship Id="rId7" Type="http://schemas.openxmlformats.org/officeDocument/2006/relationships/hyperlink" Target="https://www.mkuh.nhs.uk/maternity-services/your-pregnancy-journey/antenatal-care" TargetMode="External"/><Relationship Id="rId12" Type="http://schemas.openxmlformats.org/officeDocument/2006/relationships/hyperlink" Target="https://bmjopen.bmj.com/content/10/10/e040022" TargetMode="External"/><Relationship Id="rId2" Type="http://schemas.openxmlformats.org/officeDocument/2006/relationships/hyperlink" Target="https://assets.publishing.service.gov.uk/media/5b684f22e5274a14f45342c9/the-economic-and-social-costs-of-crime-horr99.pdf" TargetMode="External"/><Relationship Id="rId1" Type="http://schemas.openxmlformats.org/officeDocument/2006/relationships/hyperlink" Target="https://guysandstthomasprivatehealthcare.co.uk/services/maternity/maternity-prices-packages/" TargetMode="External"/><Relationship Id="rId6" Type="http://schemas.openxmlformats.org/officeDocument/2006/relationships/hyperlink" Target="https://www.mmu.ac.uk/news-and-events/news/story/?id=13353" TargetMode="External"/><Relationship Id="rId11" Type="http://schemas.openxmlformats.org/officeDocument/2006/relationships/hyperlink" Target="https://www.crisis.org.uk/media/237022/costsofhomelessness_finalweb.pdf" TargetMode="External"/><Relationship Id="rId5" Type="http://schemas.openxmlformats.org/officeDocument/2006/relationships/hyperlink" Target="https://kar.kent.ac.uk/92342/25/Unit%20Costs%20Report%202021%20-%20Final%20version%20for%20publication%20%28AMENDED2%29.pdf" TargetMode="External"/><Relationship Id="rId15" Type="http://schemas.openxmlformats.org/officeDocument/2006/relationships/hyperlink" Target="https://www.kingsfund.org.uk/insight-and-analysis/data-and-charts/key-facts-figures-nhs" TargetMode="External"/><Relationship Id="rId10" Type="http://schemas.openxmlformats.org/officeDocument/2006/relationships/hyperlink" Target="https://assets.publishing.service.gov.uk/media/5f637b8f8fa8f5106d15642a/horr107.pdf" TargetMode="External"/><Relationship Id="rId4" Type="http://schemas.openxmlformats.org/officeDocument/2006/relationships/hyperlink" Target="https://kar.kent.ac.uk/100519/1/Unit%20Costs%20of%20health%20and%20Social%20Care%202022%20%28amended%2013%20July%202023%29.pdf" TargetMode="External"/><Relationship Id="rId9" Type="http://schemas.openxmlformats.org/officeDocument/2006/relationships/hyperlink" Target="https://www.ons.gov.uk/peoplepopulationandcommunity/crimeandjustice/articles/domesticabuseprevalenceandtrendsenglandandwales/yearendingmarch2022" TargetMode="External"/><Relationship Id="rId14" Type="http://schemas.openxmlformats.org/officeDocument/2006/relationships/hyperlink" Target="https://assets.ctfassets.net/6sxvmndnpn0s/5WnoAvsRkArF0mh2FGIMS1/8e671fbcf72e891d85daa26b37b46636/VFM_in_housing_options_and_homelessness_services_full_report_Oct_2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141C-FD86-44B4-B563-3AF24B1EDE81}">
  <sheetPr codeName="Sheet3">
    <tabColor rgb="FF92D050"/>
  </sheetPr>
  <dimension ref="A1:B12"/>
  <sheetViews>
    <sheetView topLeftCell="A5" zoomScale="90" zoomScaleNormal="90" workbookViewId="0">
      <selection activeCell="A2" sqref="A2"/>
    </sheetView>
  </sheetViews>
  <sheetFormatPr defaultColWidth="0" defaultRowHeight="14.5" x14ac:dyDescent="0.35"/>
  <cols>
    <col min="1" max="1" width="173.54296875" style="1" customWidth="1"/>
    <col min="2" max="2" width="2.453125" customWidth="1"/>
    <col min="3" max="16384" width="8.7265625" hidden="1"/>
  </cols>
  <sheetData>
    <row r="1" spans="1:1" ht="18.5" x14ac:dyDescent="0.45">
      <c r="A1" s="228" t="s">
        <v>184</v>
      </c>
    </row>
    <row r="2" spans="1:1" ht="159.5" x14ac:dyDescent="0.35">
      <c r="A2" s="229" t="s">
        <v>223</v>
      </c>
    </row>
    <row r="3" spans="1:1" ht="18.5" x14ac:dyDescent="0.45">
      <c r="A3" s="232" t="s">
        <v>186</v>
      </c>
    </row>
    <row r="4" spans="1:1" ht="43.5" x14ac:dyDescent="0.35">
      <c r="A4" s="233" t="s">
        <v>187</v>
      </c>
    </row>
    <row r="5" spans="1:1" ht="18.5" x14ac:dyDescent="0.45">
      <c r="A5" s="230" t="s">
        <v>183</v>
      </c>
    </row>
    <row r="6" spans="1:1" ht="87" x14ac:dyDescent="0.35">
      <c r="A6" s="229" t="s">
        <v>224</v>
      </c>
    </row>
    <row r="7" spans="1:1" ht="18.5" x14ac:dyDescent="0.45">
      <c r="A7" s="232" t="s">
        <v>185</v>
      </c>
    </row>
    <row r="8" spans="1:1" ht="87" x14ac:dyDescent="0.35">
      <c r="A8" s="231" t="s">
        <v>221</v>
      </c>
    </row>
    <row r="9" spans="1:1" ht="18.5" x14ac:dyDescent="0.45">
      <c r="A9" s="263" t="s">
        <v>188</v>
      </c>
    </row>
    <row r="10" spans="1:1" ht="232" x14ac:dyDescent="0.35">
      <c r="A10" s="229" t="s">
        <v>222</v>
      </c>
    </row>
    <row r="11" spans="1:1" ht="18.5" x14ac:dyDescent="0.45">
      <c r="A11" s="234" t="s">
        <v>189</v>
      </c>
    </row>
    <row r="12" spans="1:1" ht="217.5" x14ac:dyDescent="0.35">
      <c r="A12" s="1" t="s">
        <v>220</v>
      </c>
    </row>
  </sheetData>
  <hyperlinks>
    <hyperlink ref="A4" location="Dashboard!A1" display="Dashboard!A1" xr:uid="{BF94E857-03C8-4BB4-9163-65BEAA0E4A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7ED4-AA31-45A8-93B4-CD5EFA237504}">
  <sheetPr>
    <tabColor theme="0" tint="-0.499984740745262"/>
  </sheetPr>
  <dimension ref="A1:S40"/>
  <sheetViews>
    <sheetView zoomScaleNormal="100" workbookViewId="0">
      <selection activeCell="B14" sqref="B14"/>
    </sheetView>
  </sheetViews>
  <sheetFormatPr defaultColWidth="9.1796875" defaultRowHeight="13" x14ac:dyDescent="0.3"/>
  <cols>
    <col min="1" max="1" width="9.1796875" style="208"/>
    <col min="2" max="2" width="61" style="208" customWidth="1"/>
    <col min="3" max="3" width="14.1796875" style="208" customWidth="1"/>
    <col min="4" max="4" width="18.54296875" style="208" customWidth="1"/>
    <col min="5" max="8" width="14.81640625" style="208" customWidth="1"/>
    <col min="9" max="10" width="11.453125" style="208" customWidth="1"/>
    <col min="11" max="11" width="13.54296875" style="208" customWidth="1"/>
    <col min="12" max="12" width="17.81640625" style="208" customWidth="1"/>
    <col min="13" max="13" width="45.1796875" style="208" customWidth="1"/>
    <col min="14" max="14" width="41.1796875" style="208" customWidth="1"/>
    <col min="15" max="15" width="11" style="208" bestFit="1" customWidth="1"/>
    <col min="16" max="16" width="26.7265625" style="208" bestFit="1" customWidth="1"/>
    <col min="17" max="16384" width="9.1796875" style="208"/>
  </cols>
  <sheetData>
    <row r="1" spans="1:19" x14ac:dyDescent="0.3">
      <c r="B1" s="209" t="s">
        <v>90</v>
      </c>
      <c r="C1" s="209" t="s">
        <v>106</v>
      </c>
      <c r="E1" s="209"/>
      <c r="F1" s="209" t="s">
        <v>80</v>
      </c>
      <c r="G1" s="209" t="s">
        <v>88</v>
      </c>
      <c r="H1" s="209" t="s">
        <v>168</v>
      </c>
      <c r="I1" s="209" t="s">
        <v>110</v>
      </c>
      <c r="J1" s="209" t="s">
        <v>112</v>
      </c>
    </row>
    <row r="2" spans="1:19" x14ac:dyDescent="0.3">
      <c r="B2" s="209" t="s">
        <v>118</v>
      </c>
      <c r="C2" s="209"/>
      <c r="E2" s="209"/>
      <c r="F2" s="209"/>
      <c r="G2" s="209"/>
      <c r="H2" s="209"/>
      <c r="I2" s="209"/>
      <c r="J2" s="209"/>
    </row>
    <row r="3" spans="1:19" x14ac:dyDescent="0.3">
      <c r="A3" s="208" t="s">
        <v>82</v>
      </c>
      <c r="B3" s="208" t="s">
        <v>105</v>
      </c>
      <c r="C3" s="208">
        <v>196.4</v>
      </c>
      <c r="G3" s="209"/>
      <c r="H3" s="209"/>
      <c r="K3" s="209" t="s">
        <v>104</v>
      </c>
      <c r="L3" s="209"/>
      <c r="M3" s="209" t="s">
        <v>86</v>
      </c>
      <c r="N3" s="209" t="s">
        <v>89</v>
      </c>
      <c r="O3" s="209" t="s">
        <v>85</v>
      </c>
      <c r="P3" s="209" t="s">
        <v>103</v>
      </c>
      <c r="Q3" s="208" t="s">
        <v>102</v>
      </c>
    </row>
    <row r="4" spans="1:19" x14ac:dyDescent="0.3">
      <c r="A4" s="208" t="s">
        <v>108</v>
      </c>
      <c r="B4" s="208" t="s">
        <v>101</v>
      </c>
      <c r="C4" s="208">
        <v>232.3</v>
      </c>
      <c r="E4" s="210">
        <f>C4/C3</f>
        <v>1.1827902240325865</v>
      </c>
      <c r="F4" s="210"/>
      <c r="G4" s="209"/>
      <c r="H4" s="209"/>
      <c r="K4" s="208" t="s">
        <v>100</v>
      </c>
      <c r="M4" s="208" t="s">
        <v>97</v>
      </c>
      <c r="N4" s="211">
        <v>6506</v>
      </c>
      <c r="O4" s="211">
        <v>7042.30363296</v>
      </c>
      <c r="P4" s="208" t="s">
        <v>94</v>
      </c>
      <c r="Q4" s="212">
        <f>(O4/N4)^(1/4)-1</f>
        <v>2.0000000000000018E-2</v>
      </c>
    </row>
    <row r="5" spans="1:19" x14ac:dyDescent="0.3">
      <c r="A5" s="208" t="s">
        <v>87</v>
      </c>
      <c r="B5" s="208" t="s">
        <v>99</v>
      </c>
      <c r="C5" s="208">
        <v>240.9</v>
      </c>
      <c r="E5" s="210">
        <f t="shared" ref="E5:E6" si="0">C5/C4</f>
        <v>1.0370210934136892</v>
      </c>
      <c r="F5" s="210"/>
      <c r="G5" s="209"/>
      <c r="H5" s="209"/>
      <c r="K5" s="208" t="s">
        <v>98</v>
      </c>
      <c r="M5" s="208" t="s">
        <v>97</v>
      </c>
      <c r="N5" s="211">
        <v>2501</v>
      </c>
      <c r="O5" s="211">
        <v>2707.1628321600001</v>
      </c>
      <c r="P5" s="208" t="s">
        <v>94</v>
      </c>
      <c r="Q5" s="212">
        <f>(O5/N5)^(1/4)-1</f>
        <v>2.0000000000000018E-2</v>
      </c>
    </row>
    <row r="6" spans="1:19" x14ac:dyDescent="0.3">
      <c r="A6" s="208" t="s">
        <v>84</v>
      </c>
      <c r="B6" s="208" t="s">
        <v>96</v>
      </c>
      <c r="C6" s="208">
        <v>257</v>
      </c>
      <c r="E6" s="210">
        <f t="shared" si="0"/>
        <v>1.0668327106683271</v>
      </c>
      <c r="F6" s="210"/>
      <c r="G6" s="209"/>
      <c r="H6" s="209"/>
      <c r="K6" s="208" t="s">
        <v>95</v>
      </c>
      <c r="M6" s="208" t="s">
        <v>80</v>
      </c>
      <c r="N6" s="211">
        <v>11900</v>
      </c>
      <c r="O6" s="211">
        <v>15393.918902400173</v>
      </c>
      <c r="P6" s="208" t="s">
        <v>94</v>
      </c>
      <c r="Q6" s="212">
        <f>(O6/N6)^(1/5)-1</f>
        <v>5.283532138097824E-2</v>
      </c>
      <c r="R6" s="208">
        <f>N6*((1+2%)^5)</f>
        <v>13138.56155808</v>
      </c>
      <c r="S6" s="212">
        <f>(R6/N6)^(1/5)-1</f>
        <v>2.0000000000000018E-2</v>
      </c>
    </row>
    <row r="7" spans="1:19" x14ac:dyDescent="0.3">
      <c r="A7" s="208" t="s">
        <v>80</v>
      </c>
      <c r="B7" s="208" t="s">
        <v>93</v>
      </c>
      <c r="C7" s="208">
        <v>276.7</v>
      </c>
      <c r="E7" s="210">
        <v>1.03</v>
      </c>
      <c r="F7" s="210">
        <v>1</v>
      </c>
      <c r="G7" s="209"/>
      <c r="H7" s="209"/>
      <c r="M7" s="211"/>
      <c r="N7" s="211"/>
      <c r="R7" s="211">
        <f>O6-R6</f>
        <v>2255.3573443201731</v>
      </c>
    </row>
    <row r="8" spans="1:19" x14ac:dyDescent="0.3">
      <c r="A8" s="208" t="s">
        <v>88</v>
      </c>
      <c r="B8" s="208" t="s">
        <v>92</v>
      </c>
      <c r="C8" s="208">
        <v>282.5</v>
      </c>
      <c r="E8" s="210">
        <v>1.0209999999999999</v>
      </c>
      <c r="F8" s="210">
        <f>F7*E8</f>
        <v>1.0209999999999999</v>
      </c>
      <c r="G8" s="210">
        <v>1</v>
      </c>
      <c r="H8" s="210"/>
    </row>
    <row r="9" spans="1:19" x14ac:dyDescent="0.3">
      <c r="A9" s="208" t="s">
        <v>178</v>
      </c>
      <c r="B9" s="208" t="s">
        <v>179</v>
      </c>
      <c r="E9" s="210">
        <v>1.0169999999999999</v>
      </c>
      <c r="F9" s="210">
        <f t="shared" ref="F9:F12" si="1">F8*E9</f>
        <v>1.0383569999999998</v>
      </c>
      <c r="G9" s="210">
        <f>G8*E9</f>
        <v>1.0169999999999999</v>
      </c>
      <c r="H9" s="210"/>
    </row>
    <row r="10" spans="1:19" x14ac:dyDescent="0.3">
      <c r="A10" s="208" t="s">
        <v>168</v>
      </c>
      <c r="B10" s="208" t="s">
        <v>180</v>
      </c>
      <c r="E10" s="210">
        <v>1.0109999999999999</v>
      </c>
      <c r="F10" s="210">
        <f t="shared" si="1"/>
        <v>1.0497789269999998</v>
      </c>
      <c r="G10" s="210">
        <f t="shared" ref="G10:G12" si="2">G9*E10</f>
        <v>1.0281869999999997</v>
      </c>
      <c r="H10" s="210">
        <v>1</v>
      </c>
    </row>
    <row r="11" spans="1:19" x14ac:dyDescent="0.3">
      <c r="A11" s="208" t="s">
        <v>177</v>
      </c>
      <c r="B11" s="208" t="s">
        <v>181</v>
      </c>
      <c r="E11" s="210">
        <v>1.0089999999999999</v>
      </c>
      <c r="F11" s="210">
        <f t="shared" si="1"/>
        <v>1.0592269373429997</v>
      </c>
      <c r="G11" s="210">
        <f t="shared" si="2"/>
        <v>1.0374406829999996</v>
      </c>
      <c r="H11" s="210">
        <f>H10*E11</f>
        <v>1.0089999999999999</v>
      </c>
    </row>
    <row r="12" spans="1:19" x14ac:dyDescent="0.3">
      <c r="A12" s="208" t="s">
        <v>81</v>
      </c>
      <c r="B12" s="208" t="s">
        <v>91</v>
      </c>
      <c r="C12" s="208">
        <v>297</v>
      </c>
      <c r="E12" s="210">
        <v>1.012</v>
      </c>
      <c r="F12" s="210">
        <f t="shared" si="1"/>
        <v>1.0719376605911157</v>
      </c>
      <c r="G12" s="210">
        <f t="shared" si="2"/>
        <v>1.0498899711959997</v>
      </c>
      <c r="H12" s="210">
        <f>H11*E12</f>
        <v>1.0211079999999999</v>
      </c>
    </row>
    <row r="14" spans="1:19" ht="14.5" x14ac:dyDescent="0.35">
      <c r="A14" s="208" t="str">
        <f>A12</f>
        <v>2015/16</v>
      </c>
      <c r="B14" s="208" t="s">
        <v>109</v>
      </c>
      <c r="C14" s="213">
        <v>3.8999999999999998E-3</v>
      </c>
      <c r="E14" s="213">
        <f t="shared" ref="E14:E20" si="3">1+C14</f>
        <v>1.0039</v>
      </c>
      <c r="F14" s="213"/>
      <c r="G14" s="214"/>
      <c r="H14" s="214"/>
    </row>
    <row r="15" spans="1:19" ht="14.5" x14ac:dyDescent="0.35">
      <c r="A15" s="208" t="s">
        <v>110</v>
      </c>
      <c r="B15" s="208" t="s">
        <v>109</v>
      </c>
      <c r="C15" s="213">
        <v>2.06E-2</v>
      </c>
      <c r="E15" s="213">
        <f t="shared" si="3"/>
        <v>1.0206</v>
      </c>
      <c r="F15" s="210">
        <f>F12*E15</f>
        <v>1.0940195763992926</v>
      </c>
      <c r="G15" s="210">
        <f>E15*G12</f>
        <v>1.0715177046026372</v>
      </c>
      <c r="H15" s="210">
        <f>H12*E15</f>
        <v>1.0421428247999998</v>
      </c>
      <c r="I15" s="208">
        <v>1</v>
      </c>
    </row>
    <row r="16" spans="1:19" ht="14.5" x14ac:dyDescent="0.35">
      <c r="A16" s="208" t="s">
        <v>111</v>
      </c>
      <c r="B16" s="208" t="s">
        <v>109</v>
      </c>
      <c r="C16" s="213">
        <v>1.2500000000000001E-2</v>
      </c>
      <c r="E16" s="213">
        <f t="shared" si="3"/>
        <v>1.0125</v>
      </c>
      <c r="F16" s="210">
        <f>F15*E16</f>
        <v>1.1076948211042836</v>
      </c>
      <c r="G16" s="210">
        <f>E16*G15</f>
        <v>1.08491167591017</v>
      </c>
      <c r="H16" s="210">
        <f>H15*E16</f>
        <v>1.0551696101099997</v>
      </c>
      <c r="I16" s="210">
        <f>E16*I15</f>
        <v>1.0125</v>
      </c>
      <c r="J16" s="210"/>
    </row>
    <row r="17" spans="1:11" ht="14.5" x14ac:dyDescent="0.35">
      <c r="A17" s="208" t="s">
        <v>112</v>
      </c>
      <c r="B17" s="208" t="s">
        <v>109</v>
      </c>
      <c r="C17" s="213">
        <v>1.6199999999999999E-2</v>
      </c>
      <c r="E17" s="213">
        <f t="shared" si="3"/>
        <v>1.0162</v>
      </c>
      <c r="F17" s="210">
        <f t="shared" ref="F17:F20" si="4">F16*E17</f>
        <v>1.1256394772061731</v>
      </c>
      <c r="G17" s="210">
        <f>E17*G16</f>
        <v>1.1024872450599148</v>
      </c>
      <c r="H17" s="210">
        <f t="shared" ref="H17:H20" si="5">H16*E17</f>
        <v>1.0722633577937817</v>
      </c>
      <c r="I17" s="210">
        <f>E17*I16</f>
        <v>1.0289025000000001</v>
      </c>
      <c r="J17" s="210">
        <v>1</v>
      </c>
    </row>
    <row r="18" spans="1:11" ht="14.5" x14ac:dyDescent="0.35">
      <c r="A18" s="208" t="s">
        <v>113</v>
      </c>
      <c r="B18" s="208" t="s">
        <v>109</v>
      </c>
      <c r="C18" s="213">
        <v>2.18E-2</v>
      </c>
      <c r="E18" s="213">
        <f t="shared" si="3"/>
        <v>1.0218</v>
      </c>
      <c r="F18" s="210">
        <f t="shared" si="4"/>
        <v>1.1501784178092678</v>
      </c>
      <c r="G18" s="210">
        <f>E18*G17</f>
        <v>1.126521467002221</v>
      </c>
      <c r="H18" s="210">
        <f t="shared" si="5"/>
        <v>1.0956386989936862</v>
      </c>
      <c r="I18" s="210">
        <f>E18*I17</f>
        <v>1.0513325745000002</v>
      </c>
      <c r="J18" s="210">
        <f>E18*J17</f>
        <v>1.0218</v>
      </c>
    </row>
    <row r="19" spans="1:11" ht="14.5" x14ac:dyDescent="0.35">
      <c r="A19" s="208" t="s">
        <v>114</v>
      </c>
      <c r="B19" s="208" t="s">
        <v>109</v>
      </c>
      <c r="C19" s="213">
        <v>2.47E-2</v>
      </c>
      <c r="E19" s="213">
        <f t="shared" si="3"/>
        <v>1.0246999999999999</v>
      </c>
      <c r="F19" s="210">
        <f t="shared" si="4"/>
        <v>1.1785878247291566</v>
      </c>
      <c r="G19" s="210">
        <f>E19*G18</f>
        <v>1.1543465472371759</v>
      </c>
      <c r="H19" s="210">
        <f t="shared" si="5"/>
        <v>1.1227009748588301</v>
      </c>
      <c r="I19" s="210">
        <f>E19*I18</f>
        <v>1.0773004890901501</v>
      </c>
      <c r="J19" s="210">
        <f t="shared" ref="J19:J20" si="6">E19*J18</f>
        <v>1.04703846</v>
      </c>
      <c r="K19" s="215"/>
    </row>
    <row r="20" spans="1:11" ht="14.5" x14ac:dyDescent="0.35">
      <c r="A20" s="208" t="s">
        <v>115</v>
      </c>
      <c r="B20" s="208" t="s">
        <v>109</v>
      </c>
      <c r="C20" s="213">
        <v>2.7199999999999998E-2</v>
      </c>
      <c r="E20" s="213">
        <f t="shared" si="3"/>
        <v>1.0271999999999999</v>
      </c>
      <c r="F20" s="210">
        <f t="shared" si="4"/>
        <v>1.2106454135617895</v>
      </c>
      <c r="G20" s="210">
        <f>E20*G19</f>
        <v>1.185744773322027</v>
      </c>
      <c r="H20" s="210">
        <f t="shared" si="5"/>
        <v>1.1532384413749901</v>
      </c>
      <c r="I20" s="210">
        <f>E20*I19</f>
        <v>1.106603062393402</v>
      </c>
      <c r="J20" s="210">
        <f t="shared" si="6"/>
        <v>1.0755179061119999</v>
      </c>
      <c r="K20" s="215">
        <f>E19*E20</f>
        <v>1.0525718399999999</v>
      </c>
    </row>
    <row r="22" spans="1:11" x14ac:dyDescent="0.3">
      <c r="B22" s="209" t="s">
        <v>119</v>
      </c>
    </row>
    <row r="23" spans="1:11" x14ac:dyDescent="0.3">
      <c r="F23" s="209"/>
    </row>
    <row r="24" spans="1:11" x14ac:dyDescent="0.3">
      <c r="A24" s="208">
        <f t="shared" ref="A24:A30" si="7">A25-1</f>
        <v>2007</v>
      </c>
      <c r="B24" s="208" t="s">
        <v>119</v>
      </c>
      <c r="C24" s="208">
        <v>81.8</v>
      </c>
      <c r="F24" s="209"/>
    </row>
    <row r="25" spans="1:11" x14ac:dyDescent="0.3">
      <c r="A25" s="208">
        <f t="shared" si="7"/>
        <v>2008</v>
      </c>
      <c r="B25" s="208" t="s">
        <v>119</v>
      </c>
      <c r="C25" s="208">
        <v>84.7</v>
      </c>
      <c r="F25" s="209"/>
    </row>
    <row r="26" spans="1:11" x14ac:dyDescent="0.3">
      <c r="A26" s="208">
        <f t="shared" si="7"/>
        <v>2009</v>
      </c>
      <c r="B26" s="208" t="s">
        <v>119</v>
      </c>
      <c r="C26" s="208">
        <v>86.6</v>
      </c>
      <c r="F26" s="209"/>
    </row>
    <row r="27" spans="1:11" x14ac:dyDescent="0.3">
      <c r="A27" s="208">
        <f t="shared" si="7"/>
        <v>2010</v>
      </c>
      <c r="B27" s="208" t="s">
        <v>119</v>
      </c>
      <c r="C27" s="208">
        <v>89.4</v>
      </c>
      <c r="F27" s="209"/>
    </row>
    <row r="28" spans="1:11" x14ac:dyDescent="0.3">
      <c r="A28" s="208">
        <f t="shared" si="7"/>
        <v>2011</v>
      </c>
      <c r="B28" s="208" t="s">
        <v>119</v>
      </c>
      <c r="C28" s="208">
        <v>93.4</v>
      </c>
      <c r="F28" s="209"/>
    </row>
    <row r="29" spans="1:11" x14ac:dyDescent="0.3">
      <c r="A29" s="208">
        <f t="shared" si="7"/>
        <v>2012</v>
      </c>
      <c r="B29" s="208" t="s">
        <v>119</v>
      </c>
      <c r="C29" s="208">
        <v>96.1</v>
      </c>
      <c r="F29" s="209"/>
    </row>
    <row r="30" spans="1:11" x14ac:dyDescent="0.3">
      <c r="A30" s="208">
        <f t="shared" si="7"/>
        <v>2013</v>
      </c>
      <c r="B30" s="208" t="s">
        <v>119</v>
      </c>
      <c r="C30" s="208">
        <v>98.5</v>
      </c>
      <c r="F30" s="209"/>
    </row>
    <row r="31" spans="1:11" x14ac:dyDescent="0.3">
      <c r="A31" s="208">
        <f>A32-1</f>
        <v>2014</v>
      </c>
      <c r="B31" s="208" t="s">
        <v>119</v>
      </c>
      <c r="C31" s="208">
        <v>100</v>
      </c>
      <c r="F31" s="209"/>
    </row>
    <row r="32" spans="1:11" x14ac:dyDescent="0.3">
      <c r="A32" s="208">
        <v>2015</v>
      </c>
      <c r="B32" s="208" t="s">
        <v>119</v>
      </c>
      <c r="C32" s="208">
        <v>100</v>
      </c>
      <c r="F32" s="209">
        <v>2016</v>
      </c>
      <c r="G32" s="208" t="s">
        <v>115</v>
      </c>
    </row>
    <row r="33" spans="1:7" x14ac:dyDescent="0.3">
      <c r="A33" s="208">
        <f>A32+1</f>
        <v>2016</v>
      </c>
      <c r="B33" s="208" t="s">
        <v>119</v>
      </c>
      <c r="C33" s="208">
        <v>100.7</v>
      </c>
      <c r="E33" s="210">
        <f>C33/C32</f>
        <v>1.0070000000000001</v>
      </c>
      <c r="F33" s="208">
        <v>1</v>
      </c>
    </row>
    <row r="34" spans="1:7" x14ac:dyDescent="0.3">
      <c r="A34" s="208">
        <f t="shared" ref="A34:A39" si="8">A33+1</f>
        <v>2017</v>
      </c>
      <c r="B34" s="208" t="s">
        <v>119</v>
      </c>
      <c r="C34" s="208">
        <v>103.4</v>
      </c>
      <c r="E34" s="210">
        <f t="shared" ref="E34:E39" si="9">C34/C33</f>
        <v>1.0268123138033765</v>
      </c>
      <c r="F34" s="210">
        <f>E34*F33</f>
        <v>1.0268123138033765</v>
      </c>
    </row>
    <row r="35" spans="1:7" x14ac:dyDescent="0.3">
      <c r="A35" s="208">
        <f t="shared" si="8"/>
        <v>2018</v>
      </c>
      <c r="B35" s="208" t="s">
        <v>119</v>
      </c>
      <c r="C35" s="208">
        <v>105.9</v>
      </c>
      <c r="E35" s="210">
        <f t="shared" si="9"/>
        <v>1.0241779497098646</v>
      </c>
      <c r="F35" s="210">
        <f t="shared" ref="F35:F39" si="10">E35*F34</f>
        <v>1.0516385302879843</v>
      </c>
    </row>
    <row r="36" spans="1:7" x14ac:dyDescent="0.3">
      <c r="A36" s="208">
        <f t="shared" si="8"/>
        <v>2019</v>
      </c>
      <c r="B36" s="208" t="s">
        <v>119</v>
      </c>
      <c r="C36" s="208">
        <v>107.8</v>
      </c>
      <c r="E36" s="210">
        <f t="shared" si="9"/>
        <v>1.0179414542020773</v>
      </c>
      <c r="F36" s="210">
        <f t="shared" si="10"/>
        <v>1.0705064548162859</v>
      </c>
    </row>
    <row r="37" spans="1:7" x14ac:dyDescent="0.3">
      <c r="A37" s="208">
        <f t="shared" si="8"/>
        <v>2020</v>
      </c>
      <c r="B37" s="208" t="s">
        <v>119</v>
      </c>
      <c r="C37" s="208">
        <v>108.7</v>
      </c>
      <c r="E37" s="210">
        <f t="shared" si="9"/>
        <v>1.0083487940630798</v>
      </c>
      <c r="F37" s="210">
        <f t="shared" si="10"/>
        <v>1.0794438927507446</v>
      </c>
    </row>
    <row r="38" spans="1:7" x14ac:dyDescent="0.3">
      <c r="A38" s="208">
        <f t="shared" si="8"/>
        <v>2021</v>
      </c>
      <c r="B38" s="208" t="s">
        <v>119</v>
      </c>
      <c r="C38" s="208">
        <v>111.6</v>
      </c>
      <c r="E38" s="210">
        <f t="shared" si="9"/>
        <v>1.0266789328426862</v>
      </c>
      <c r="F38" s="210">
        <f t="shared" si="10"/>
        <v>1.1082423038728895</v>
      </c>
    </row>
    <row r="39" spans="1:7" x14ac:dyDescent="0.3">
      <c r="A39" s="208">
        <f t="shared" si="8"/>
        <v>2022</v>
      </c>
      <c r="B39" s="208" t="s">
        <v>119</v>
      </c>
      <c r="C39" s="208">
        <v>121.7</v>
      </c>
      <c r="E39" s="210">
        <f t="shared" si="9"/>
        <v>1.0905017921146953</v>
      </c>
      <c r="F39" s="216">
        <f t="shared" si="10"/>
        <v>1.2085402184707048</v>
      </c>
      <c r="G39" s="208">
        <f>C39/C38</f>
        <v>1.0905017921146953</v>
      </c>
    </row>
    <row r="40" spans="1:7" x14ac:dyDescent="0.3">
      <c r="F40" s="217"/>
    </row>
  </sheetData>
  <sheetProtection algorithmName="SHA-512" hashValue="6Jor9QOxq49cf9eK8RL4PTqI1nB6Jpoa/kgWZA/2sLthyTz9j1YWR0DtslaS+qCKCmZDi+SkILeqyoW7lHn+dQ==" saltValue="Qm+Fmpz280kf8DMfnaC3qA==" spinCount="100000" sheet="1" objects="1" scenarios="1"/>
  <phoneticPr fontId="1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E133-E9D0-4DB9-9043-87DE3191681A}">
  <sheetPr codeName="Sheet2">
    <tabColor rgb="FF92D050"/>
  </sheetPr>
  <dimension ref="A1:V55"/>
  <sheetViews>
    <sheetView showGridLines="0" tabSelected="1" topLeftCell="A15" zoomScale="65" zoomScaleNormal="80" workbookViewId="0">
      <selection activeCell="E23" sqref="E23"/>
    </sheetView>
  </sheetViews>
  <sheetFormatPr defaultRowHeight="14.5" x14ac:dyDescent="0.35"/>
  <cols>
    <col min="1" max="1" width="3.453125" customWidth="1"/>
    <col min="2" max="2" width="45.81640625" style="1" customWidth="1"/>
    <col min="3" max="3" width="16" customWidth="1"/>
    <col min="4" max="4" width="8.81640625" customWidth="1"/>
    <col min="5" max="5" width="54.1796875" customWidth="1"/>
    <col min="6" max="6" width="11.1796875" bestFit="1" customWidth="1"/>
    <col min="7" max="7" width="7.81640625" customWidth="1"/>
    <col min="8" max="8" width="52.7265625" customWidth="1"/>
    <col min="9" max="9" width="17.453125" customWidth="1"/>
    <col min="10" max="10" width="5.54296875" customWidth="1"/>
    <col min="11" max="11" width="27.26953125" customWidth="1"/>
    <col min="12" max="16" width="14.54296875" customWidth="1"/>
    <col min="17" max="17" width="34.453125" customWidth="1"/>
  </cols>
  <sheetData>
    <row r="1" spans="2:22" x14ac:dyDescent="0.35">
      <c r="G1" s="6"/>
    </row>
    <row r="2" spans="2:22" ht="35.15" customHeight="1" x14ac:dyDescent="0.45">
      <c r="B2" s="266" t="s">
        <v>225</v>
      </c>
      <c r="C2" s="266"/>
    </row>
    <row r="3" spans="2:22" ht="67.5" customHeight="1" x14ac:dyDescent="0.45">
      <c r="B3" s="262" t="s">
        <v>207</v>
      </c>
      <c r="K3" s="267" t="s">
        <v>205</v>
      </c>
      <c r="L3" s="268"/>
      <c r="M3" s="268"/>
      <c r="N3" s="268"/>
      <c r="O3" s="268"/>
      <c r="P3" s="268"/>
      <c r="Q3" s="259" t="s">
        <v>206</v>
      </c>
      <c r="R3" s="258"/>
      <c r="S3" s="258"/>
      <c r="T3" s="258"/>
      <c r="U3" s="258"/>
      <c r="V3" s="258"/>
    </row>
    <row r="5" spans="2:22" ht="59" x14ac:dyDescent="0.45">
      <c r="B5" s="218" t="s">
        <v>78</v>
      </c>
      <c r="C5" s="219"/>
      <c r="K5" s="219"/>
      <c r="L5" s="221" t="s">
        <v>226</v>
      </c>
      <c r="M5" s="221" t="s">
        <v>227</v>
      </c>
      <c r="N5" s="221" t="s">
        <v>194</v>
      </c>
      <c r="O5" s="221" t="s">
        <v>195</v>
      </c>
      <c r="P5" s="221" t="s">
        <v>196</v>
      </c>
      <c r="Q5" s="260" t="s">
        <v>196</v>
      </c>
    </row>
    <row r="6" spans="2:22" x14ac:dyDescent="0.35">
      <c r="B6" s="2" t="s">
        <v>209</v>
      </c>
      <c r="C6" s="225">
        <v>0.75</v>
      </c>
      <c r="K6" s="8" t="s">
        <v>202</v>
      </c>
      <c r="L6" s="247">
        <f>Calculation!P8</f>
        <v>27791.995935127419</v>
      </c>
      <c r="M6" s="207">
        <f>Calculation!AA8</f>
        <v>11497.391915089498</v>
      </c>
      <c r="N6" s="207">
        <f>$N$12*L6/$L$12</f>
        <v>3971.2895503478044</v>
      </c>
      <c r="O6" s="141">
        <f>L6-M6-N6</f>
        <v>12323.314469690116</v>
      </c>
      <c r="P6" s="141">
        <f>ROUND(O6*$I$30,0)</f>
        <v>11091</v>
      </c>
      <c r="Q6" s="141">
        <f>P6*$C$8</f>
        <v>443640</v>
      </c>
    </row>
    <row r="7" spans="2:22" ht="29" x14ac:dyDescent="0.35">
      <c r="B7" s="2" t="s">
        <v>210</v>
      </c>
      <c r="C7" s="197">
        <f>1-C6</f>
        <v>0.25</v>
      </c>
      <c r="K7" s="8" t="s">
        <v>203</v>
      </c>
      <c r="L7" s="247">
        <f>Calculation!P16</f>
        <v>6464.0988271623464</v>
      </c>
      <c r="M7" s="207">
        <f>Calculation!AA16</f>
        <v>5148.413966026611</v>
      </c>
      <c r="N7" s="207">
        <f t="shared" ref="N7:N11" si="0">$N$12*L7/$L$12</f>
        <v>923.67630538830645</v>
      </c>
      <c r="O7" s="141">
        <f t="shared" ref="O7:O11" si="1">L7-M7-N7</f>
        <v>392.008555747429</v>
      </c>
      <c r="P7" s="141">
        <f>ROUND(O7*$I$30,0)</f>
        <v>353</v>
      </c>
      <c r="Q7" s="141">
        <f t="shared" ref="Q7:Q11" si="2">P7*$C$8</f>
        <v>14120</v>
      </c>
    </row>
    <row r="8" spans="2:22" x14ac:dyDescent="0.35">
      <c r="B8" s="2" t="s">
        <v>67</v>
      </c>
      <c r="C8" s="226">
        <v>40</v>
      </c>
      <c r="K8" s="8" t="str">
        <f>Calculation!B20</f>
        <v>MARAC</v>
      </c>
      <c r="L8" s="247">
        <f>Calculation!P20</f>
        <v>982.53560473847699</v>
      </c>
      <c r="M8" s="207">
        <f>Calculation!AA20</f>
        <v>761.46509367231965</v>
      </c>
      <c r="N8" s="207">
        <f t="shared" si="0"/>
        <v>140.39773858094028</v>
      </c>
      <c r="O8" s="141">
        <f t="shared" si="1"/>
        <v>80.672772485217052</v>
      </c>
      <c r="P8" s="141">
        <f t="shared" ref="P8:P11" si="3">ROUND(O8*$I$30,0)</f>
        <v>73</v>
      </c>
      <c r="Q8" s="141">
        <f t="shared" si="2"/>
        <v>2920</v>
      </c>
    </row>
    <row r="9" spans="2:22" x14ac:dyDescent="0.35">
      <c r="B9" s="9" t="s">
        <v>197</v>
      </c>
      <c r="C9" s="8">
        <f>C8*C6</f>
        <v>30</v>
      </c>
      <c r="K9" s="8" t="str">
        <f>Calculation!B21</f>
        <v>Housing and Homelessness</v>
      </c>
      <c r="L9" s="247">
        <f>Calculation!P21</f>
        <v>1954.6572316778527</v>
      </c>
      <c r="M9" s="207">
        <f>Calculation!AA21</f>
        <v>635.26360029530201</v>
      </c>
      <c r="N9" s="207">
        <f t="shared" si="0"/>
        <v>279.30738968131021</v>
      </c>
      <c r="O9" s="141">
        <f t="shared" si="1"/>
        <v>1040.0862417012404</v>
      </c>
      <c r="P9" s="141">
        <f t="shared" si="3"/>
        <v>936</v>
      </c>
      <c r="Q9" s="141">
        <f t="shared" si="2"/>
        <v>37440</v>
      </c>
    </row>
    <row r="10" spans="2:22" x14ac:dyDescent="0.35">
      <c r="B10" s="2" t="s">
        <v>198</v>
      </c>
      <c r="C10" s="198">
        <f>C7*C8</f>
        <v>10</v>
      </c>
      <c r="K10" s="8" t="str">
        <f>Calculation!B23</f>
        <v>Policing</v>
      </c>
      <c r="L10" s="206">
        <f>Calculation!P23</f>
        <v>6553.0449553768785</v>
      </c>
      <c r="M10" s="207">
        <f>Calculation!AA23</f>
        <v>4902.3210080917452</v>
      </c>
      <c r="N10" s="207">
        <f t="shared" si="0"/>
        <v>936.38610969119941</v>
      </c>
      <c r="O10" s="141">
        <f t="shared" si="1"/>
        <v>714.33783759393395</v>
      </c>
      <c r="P10" s="141">
        <f t="shared" si="3"/>
        <v>643</v>
      </c>
      <c r="Q10" s="141">
        <f t="shared" si="2"/>
        <v>25720</v>
      </c>
    </row>
    <row r="11" spans="2:22" x14ac:dyDescent="0.35">
      <c r="K11" s="8" t="str">
        <f>Calculation!B29</f>
        <v>Children's services</v>
      </c>
      <c r="L11" s="247">
        <f>Calculation!P29</f>
        <v>13163.270253564922</v>
      </c>
      <c r="M11" s="207">
        <f>Calculation!AA29</f>
        <v>5806.4950102610319</v>
      </c>
      <c r="N11" s="207">
        <f t="shared" si="0"/>
        <v>1880.942906310439</v>
      </c>
      <c r="O11" s="141">
        <f t="shared" si="1"/>
        <v>5475.8323369934515</v>
      </c>
      <c r="P11" s="141">
        <f t="shared" si="3"/>
        <v>4928</v>
      </c>
      <c r="Q11" s="141">
        <f t="shared" si="2"/>
        <v>197120</v>
      </c>
    </row>
    <row r="12" spans="2:22" ht="18.5" x14ac:dyDescent="0.45">
      <c r="B12" s="218" t="s">
        <v>121</v>
      </c>
      <c r="C12" s="219"/>
      <c r="K12" s="221" t="s">
        <v>79</v>
      </c>
      <c r="L12" s="222">
        <f>SUM(L6:L11)</f>
        <v>56909.602807647898</v>
      </c>
      <c r="M12" s="222">
        <f>SUM(M6:M11)</f>
        <v>28751.350593436506</v>
      </c>
      <c r="N12" s="222">
        <f>I27</f>
        <v>8132</v>
      </c>
      <c r="O12" s="222">
        <f>SUM(O6:O11)</f>
        <v>20026.252214211388</v>
      </c>
      <c r="P12" s="222">
        <f>SUM(P6:P11)</f>
        <v>18024</v>
      </c>
      <c r="Q12" s="261">
        <f>SUM(Q6:Q11)</f>
        <v>720960</v>
      </c>
    </row>
    <row r="13" spans="2:22" x14ac:dyDescent="0.35">
      <c r="B13" s="2" t="str">
        <f>H25</f>
        <v xml:space="preserve">Savings made per woman </v>
      </c>
      <c r="C13" s="141">
        <f>I25</f>
        <v>28158.252214211388</v>
      </c>
      <c r="K13" s="1"/>
      <c r="O13" s="257"/>
      <c r="P13" s="123"/>
    </row>
    <row r="14" spans="2:22" x14ac:dyDescent="0.35">
      <c r="B14" s="2" t="str">
        <f>H27</f>
        <v>Cost of by and for service</v>
      </c>
      <c r="C14" s="141">
        <f>I27</f>
        <v>8132</v>
      </c>
      <c r="L14" s="124"/>
    </row>
    <row r="15" spans="2:22" ht="29" x14ac:dyDescent="0.35">
      <c r="B15" s="2" t="str">
        <f>H28</f>
        <v>Gains made net of cost to the commissioner of funding by and for service</v>
      </c>
      <c r="C15" s="141">
        <f>I28</f>
        <v>20026.252214211388</v>
      </c>
      <c r="K15" s="13"/>
      <c r="L15" s="240"/>
      <c r="P15" s="123"/>
    </row>
    <row r="16" spans="2:22" ht="29.15" customHeight="1" x14ac:dyDescent="0.35">
      <c r="B16" s="2" t="str">
        <f>H31</f>
        <v>Savings made per woman attributable to by and for service</v>
      </c>
      <c r="C16" s="141">
        <f>I31</f>
        <v>18023.62699279025</v>
      </c>
      <c r="N16" s="240"/>
      <c r="P16" s="249"/>
    </row>
    <row r="17" spans="1:16" x14ac:dyDescent="0.35">
      <c r="P17" s="249"/>
    </row>
    <row r="18" spans="1:16" ht="39" customHeight="1" x14ac:dyDescent="0.45">
      <c r="B18" s="220" t="s">
        <v>228</v>
      </c>
      <c r="C18" s="218"/>
      <c r="E18" s="223" t="s">
        <v>229</v>
      </c>
      <c r="F18" s="224"/>
      <c r="H18" s="264" t="s">
        <v>230</v>
      </c>
      <c r="I18" s="265"/>
      <c r="P18" s="249"/>
    </row>
    <row r="19" spans="1:16" x14ac:dyDescent="0.35">
      <c r="B19" s="13"/>
      <c r="P19" s="249"/>
    </row>
    <row r="20" spans="1:16" ht="29" x14ac:dyDescent="0.35">
      <c r="B20" s="2" t="s">
        <v>208</v>
      </c>
      <c r="C20" s="199">
        <f>Calculation!R36/(Calculation!O3+Calculation!X5)</f>
        <v>18969.8676025493</v>
      </c>
      <c r="E20" s="13" t="s">
        <v>231</v>
      </c>
      <c r="H20" s="2" t="str">
        <f>B23</f>
        <v>Costs to public services over 3 years (before and without by and for service)</v>
      </c>
      <c r="I20" s="141">
        <f>C23</f>
        <v>2276384.1123059159</v>
      </c>
      <c r="P20" s="249"/>
    </row>
    <row r="21" spans="1:16" x14ac:dyDescent="0.35">
      <c r="B21" s="2" t="str">
        <f>B8</f>
        <v>Total women in the cohort</v>
      </c>
      <c r="C21" s="2">
        <f>C8</f>
        <v>40</v>
      </c>
      <c r="E21" s="8" t="s">
        <v>215</v>
      </c>
      <c r="F21" s="141">
        <f>Calculation!T36</f>
        <v>310642.37770357996</v>
      </c>
      <c r="H21" s="2" t="str">
        <f>E34</f>
        <v>Costs to local public services over 3 years (with service)</v>
      </c>
      <c r="I21" s="141">
        <f>F34</f>
        <v>1150054.0237374604</v>
      </c>
      <c r="P21" s="16"/>
    </row>
    <row r="22" spans="1:16" x14ac:dyDescent="0.35">
      <c r="B22" s="2" t="s">
        <v>68</v>
      </c>
      <c r="C22" s="8">
        <v>3</v>
      </c>
      <c r="D22" s="1"/>
      <c r="E22" s="8" t="s">
        <v>216</v>
      </c>
      <c r="F22" s="141">
        <f>Calculation!V36</f>
        <v>157922.17213836475</v>
      </c>
      <c r="H22" s="219" t="s">
        <v>122</v>
      </c>
      <c r="I22" s="222">
        <f>I20-I21</f>
        <v>1126330.0885684555</v>
      </c>
    </row>
    <row r="23" spans="1:16" ht="29" x14ac:dyDescent="0.35">
      <c r="A23" s="140"/>
      <c r="B23" s="221" t="s">
        <v>217</v>
      </c>
      <c r="C23" s="222">
        <f>C21*C20*C22</f>
        <v>2276384.1123059159</v>
      </c>
      <c r="D23" s="140"/>
      <c r="E23" s="8" t="s">
        <v>218</v>
      </c>
      <c r="F23" s="141">
        <f>Calculation!X36</f>
        <v>112393.4458190367</v>
      </c>
      <c r="I23" s="124"/>
    </row>
    <row r="24" spans="1:16" x14ac:dyDescent="0.35">
      <c r="D24" s="140"/>
      <c r="E24" s="221" t="s">
        <v>199</v>
      </c>
      <c r="F24" s="222">
        <f>SUM(F21:F23)</f>
        <v>580957.9956609814</v>
      </c>
      <c r="H24" s="8" t="str">
        <f>B8</f>
        <v>Total women in the cohort</v>
      </c>
      <c r="I24" s="8">
        <f>C8</f>
        <v>40</v>
      </c>
    </row>
    <row r="25" spans="1:16" x14ac:dyDescent="0.35">
      <c r="C25" s="124"/>
      <c r="D25" s="1"/>
      <c r="H25" s="219" t="s">
        <v>190</v>
      </c>
      <c r="I25" s="222">
        <f>I22/I24</f>
        <v>28158.252214211388</v>
      </c>
      <c r="P25" s="249"/>
    </row>
    <row r="26" spans="1:16" x14ac:dyDescent="0.35">
      <c r="C26" s="124"/>
      <c r="D26" s="1"/>
      <c r="E26" s="13" t="s">
        <v>200</v>
      </c>
      <c r="O26" s="123"/>
    </row>
    <row r="27" spans="1:16" x14ac:dyDescent="0.35">
      <c r="C27" s="124"/>
      <c r="E27" s="8" t="str">
        <f>B10</f>
        <v>Number of women in cohort not progressing</v>
      </c>
      <c r="F27" s="8">
        <f>C10</f>
        <v>10</v>
      </c>
      <c r="H27" s="8" t="s">
        <v>211</v>
      </c>
      <c r="I27" s="227">
        <v>8132</v>
      </c>
    </row>
    <row r="28" spans="1:16" ht="29" x14ac:dyDescent="0.35">
      <c r="C28" s="124"/>
      <c r="E28" s="2" t="str">
        <f>B20</f>
        <v>Pre-service costs to local public services per woman per year:</v>
      </c>
      <c r="F28" s="142">
        <f>C20</f>
        <v>18969.8676025493</v>
      </c>
      <c r="H28" s="221" t="s">
        <v>212</v>
      </c>
      <c r="I28" s="222">
        <f>I25-I27</f>
        <v>20026.252214211388</v>
      </c>
    </row>
    <row r="29" spans="1:16" x14ac:dyDescent="0.35">
      <c r="B29"/>
      <c r="E29" s="8" t="str">
        <f>B22</f>
        <v>Number of years considered</v>
      </c>
      <c r="F29" s="8">
        <f>C22</f>
        <v>3</v>
      </c>
    </row>
    <row r="30" spans="1:16" x14ac:dyDescent="0.35">
      <c r="E30" s="221" t="s">
        <v>201</v>
      </c>
      <c r="F30" s="222">
        <f>F28*F27*F29</f>
        <v>569096.02807647898</v>
      </c>
      <c r="H30" s="8" t="s">
        <v>213</v>
      </c>
      <c r="I30" s="225">
        <v>0.9</v>
      </c>
    </row>
    <row r="31" spans="1:16" x14ac:dyDescent="0.35">
      <c r="H31" s="241" t="s">
        <v>214</v>
      </c>
      <c r="I31" s="222">
        <f>I28*I30</f>
        <v>18023.62699279025</v>
      </c>
    </row>
    <row r="32" spans="1:16" x14ac:dyDescent="0.35">
      <c r="B32" s="243"/>
      <c r="E32" s="8" t="str">
        <f>E24</f>
        <v>Costs of progressing women over 3 years</v>
      </c>
      <c r="F32" s="141">
        <f>F24</f>
        <v>580957.9956609814</v>
      </c>
      <c r="I32" s="124"/>
    </row>
    <row r="33" spans="1:16" x14ac:dyDescent="0.35">
      <c r="B33" s="244"/>
      <c r="E33" s="8" t="str">
        <f>E30</f>
        <v>Costs of non-progressing women over 3 years</v>
      </c>
      <c r="F33" s="141">
        <f>F30</f>
        <v>569096.02807647898</v>
      </c>
    </row>
    <row r="34" spans="1:16" x14ac:dyDescent="0.35">
      <c r="E34" s="221" t="s">
        <v>219</v>
      </c>
      <c r="F34" s="222">
        <f>SUM(F32:F33)</f>
        <v>1150054.0237374604</v>
      </c>
    </row>
    <row r="36" spans="1:16" x14ac:dyDescent="0.35">
      <c r="H36" s="242"/>
      <c r="I36" s="242"/>
      <c r="N36" s="242"/>
      <c r="O36" s="242"/>
      <c r="P36" s="242"/>
    </row>
    <row r="37" spans="1:16" s="242" customFormat="1" x14ac:dyDescent="0.35">
      <c r="A37" s="242" t="s">
        <v>204</v>
      </c>
      <c r="B37" s="250"/>
      <c r="C37" s="251"/>
      <c r="D37" s="251"/>
      <c r="E37" s="251"/>
    </row>
    <row r="38" spans="1:16" s="242" customFormat="1" x14ac:dyDescent="0.35">
      <c r="B38" s="250"/>
      <c r="C38" s="251"/>
      <c r="D38" s="251"/>
      <c r="E38" s="251"/>
    </row>
    <row r="39" spans="1:16" s="242" customFormat="1" x14ac:dyDescent="0.35">
      <c r="B39" s="252" t="s">
        <v>71</v>
      </c>
      <c r="C39" s="251"/>
      <c r="D39" s="251"/>
      <c r="E39" s="251"/>
    </row>
    <row r="40" spans="1:16" s="242" customFormat="1" x14ac:dyDescent="0.35">
      <c r="B40" s="250"/>
      <c r="C40" s="251"/>
      <c r="D40" s="251"/>
      <c r="E40" s="251"/>
    </row>
    <row r="41" spans="1:16" s="242" customFormat="1" ht="43.5" x14ac:dyDescent="0.35">
      <c r="B41" s="253" t="s">
        <v>74</v>
      </c>
      <c r="C41" s="253" t="s">
        <v>72</v>
      </c>
      <c r="D41" s="253" t="s">
        <v>69</v>
      </c>
      <c r="E41" s="253" t="str">
        <f>H31</f>
        <v>Savings made per woman attributable to by and for service</v>
      </c>
    </row>
    <row r="42" spans="1:16" s="242" customFormat="1" x14ac:dyDescent="0.35">
      <c r="B42" s="250" t="s">
        <v>73</v>
      </c>
      <c r="C42" s="254">
        <f>C7</f>
        <v>0.25</v>
      </c>
      <c r="D42" s="255">
        <f>I25</f>
        <v>28158.252214211388</v>
      </c>
      <c r="E42" s="255">
        <f>I31</f>
        <v>18023.62699279025</v>
      </c>
    </row>
    <row r="43" spans="1:16" s="242" customFormat="1" x14ac:dyDescent="0.35">
      <c r="B43" s="250"/>
      <c r="C43" s="254"/>
      <c r="D43" s="251"/>
      <c r="E43" s="251"/>
    </row>
    <row r="44" spans="1:16" s="242" customFormat="1" x14ac:dyDescent="0.35">
      <c r="B44" s="250">
        <v>1</v>
      </c>
      <c r="C44" s="254">
        <v>0</v>
      </c>
      <c r="D44" s="255">
        <v>35968.788481464551</v>
      </c>
      <c r="E44" s="255">
        <v>25053.109633318098</v>
      </c>
    </row>
    <row r="45" spans="1:16" s="242" customFormat="1" x14ac:dyDescent="0.35">
      <c r="B45" s="250">
        <f>B44+1</f>
        <v>2</v>
      </c>
      <c r="C45" s="254">
        <v>9.9999999999999978E-2</v>
      </c>
      <c r="D45" s="255">
        <v>32371.90963331809</v>
      </c>
      <c r="E45" s="255">
        <v>21815.91866998628</v>
      </c>
    </row>
    <row r="46" spans="1:16" s="242" customFormat="1" x14ac:dyDescent="0.35">
      <c r="B46" s="256" t="s">
        <v>76</v>
      </c>
      <c r="C46" s="254">
        <v>0.25</v>
      </c>
      <c r="D46" s="255">
        <v>26976.59136109841</v>
      </c>
      <c r="E46" s="255">
        <v>16960.132224988571</v>
      </c>
    </row>
    <row r="47" spans="1:16" s="242" customFormat="1" x14ac:dyDescent="0.35">
      <c r="B47" s="250">
        <v>3</v>
      </c>
      <c r="C47" s="254">
        <v>0.4</v>
      </c>
      <c r="D47" s="255">
        <v>21581.27308887873</v>
      </c>
      <c r="E47" s="255">
        <v>12104.345779990857</v>
      </c>
    </row>
    <row r="48" spans="1:16" s="242" customFormat="1" x14ac:dyDescent="0.35">
      <c r="B48" s="250">
        <f t="shared" ref="B48" si="4">B47+1</f>
        <v>4</v>
      </c>
      <c r="C48" s="254">
        <v>0.5</v>
      </c>
      <c r="D48" s="255">
        <v>17984.394240732276</v>
      </c>
      <c r="E48" s="255">
        <v>8867.1548166590492</v>
      </c>
    </row>
    <row r="49" spans="2:16" s="242" customFormat="1" x14ac:dyDescent="0.35">
      <c r="B49" s="256">
        <v>5</v>
      </c>
      <c r="C49" s="254">
        <v>0.6</v>
      </c>
      <c r="D49" s="255">
        <v>14387.515392585821</v>
      </c>
      <c r="E49" s="255">
        <v>5629.9638533272391</v>
      </c>
    </row>
    <row r="50" spans="2:16" s="242" customFormat="1" x14ac:dyDescent="0.35">
      <c r="B50" s="250">
        <v>6</v>
      </c>
      <c r="C50" s="254">
        <v>0.7</v>
      </c>
      <c r="D50" s="255">
        <v>10790.63654443937</v>
      </c>
      <c r="E50" s="255">
        <v>2392.7728899954336</v>
      </c>
    </row>
    <row r="51" spans="2:16" s="242" customFormat="1" x14ac:dyDescent="0.35">
      <c r="B51" s="250"/>
      <c r="C51" s="254"/>
      <c r="D51" s="255"/>
      <c r="E51" s="255"/>
    </row>
    <row r="52" spans="2:16" s="242" customFormat="1" ht="43.5" x14ac:dyDescent="0.35">
      <c r="B52" s="253" t="s">
        <v>120</v>
      </c>
      <c r="C52" s="254" t="s">
        <v>182</v>
      </c>
      <c r="D52" s="255">
        <v>20764.795636312851</v>
      </c>
      <c r="E52" s="255">
        <v>11369.516072681567</v>
      </c>
      <c r="H52"/>
      <c r="I52"/>
      <c r="N52"/>
      <c r="O52"/>
      <c r="P52"/>
    </row>
    <row r="53" spans="2:16" x14ac:dyDescent="0.35">
      <c r="C53" s="125"/>
      <c r="D53" s="123"/>
      <c r="E53" s="123"/>
    </row>
    <row r="54" spans="2:16" x14ac:dyDescent="0.35">
      <c r="C54" s="125"/>
      <c r="D54" s="123"/>
      <c r="E54" s="123"/>
    </row>
    <row r="55" spans="2:16" x14ac:dyDescent="0.35">
      <c r="C55" s="125"/>
    </row>
  </sheetData>
  <mergeCells count="3">
    <mergeCell ref="H18:I18"/>
    <mergeCell ref="B2:C2"/>
    <mergeCell ref="K3:P3"/>
  </mergeCells>
  <phoneticPr fontId="19" type="noConversion"/>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8B5-1F0C-4E10-85D7-7641E2C00DF8}">
  <sheetPr codeName="Sheet6">
    <tabColor theme="0" tint="-0.249977111117893"/>
    <pageSetUpPr fitToPage="1"/>
  </sheetPr>
  <dimension ref="A1:AB43"/>
  <sheetViews>
    <sheetView zoomScaleNormal="80" workbookViewId="0">
      <pane xSplit="3" ySplit="2" topLeftCell="X21" activePane="bottomRight" state="frozen"/>
      <selection pane="topRight" activeCell="D1" sqref="D1"/>
      <selection pane="bottomLeft" activeCell="A4" sqref="A4"/>
      <selection pane="bottomRight" activeCell="X10" sqref="X10"/>
    </sheetView>
  </sheetViews>
  <sheetFormatPr defaultRowHeight="14.5" x14ac:dyDescent="0.35"/>
  <cols>
    <col min="1" max="1" width="3.453125" customWidth="1"/>
    <col min="2" max="2" width="23.453125" customWidth="1"/>
    <col min="3" max="3" width="23.54296875" style="5" customWidth="1"/>
    <col min="4" max="4" width="30.81640625" style="5" customWidth="1"/>
    <col min="5" max="15" width="25.81640625" style="1" customWidth="1"/>
    <col min="16" max="19" width="26.1796875" style="1" customWidth="1"/>
    <col min="20" max="24" width="25.54296875" customWidth="1"/>
    <col min="25" max="26" width="24.81640625" customWidth="1"/>
    <col min="27" max="27" width="24.7265625" customWidth="1"/>
    <col min="28" max="28" width="1.81640625" customWidth="1"/>
  </cols>
  <sheetData>
    <row r="1" spans="2:28" ht="55.5" customHeight="1" thickBot="1" x14ac:dyDescent="0.5">
      <c r="D1" s="94"/>
      <c r="E1" s="273" t="s">
        <v>40</v>
      </c>
      <c r="F1" s="274"/>
      <c r="G1" s="274"/>
      <c r="H1" s="274"/>
      <c r="I1" s="281"/>
      <c r="J1" s="273" t="s">
        <v>60</v>
      </c>
      <c r="K1" s="274"/>
      <c r="L1" s="274"/>
      <c r="M1" s="275"/>
      <c r="N1" s="276"/>
      <c r="O1" s="66" t="s">
        <v>53</v>
      </c>
      <c r="P1" s="95"/>
      <c r="Q1" s="95"/>
      <c r="R1" s="277" t="s">
        <v>54</v>
      </c>
      <c r="S1" s="278"/>
      <c r="T1" s="277" t="s">
        <v>55</v>
      </c>
      <c r="U1" s="278"/>
      <c r="V1" s="277" t="s">
        <v>56</v>
      </c>
      <c r="W1" s="278"/>
    </row>
    <row r="2" spans="2:28" s="18" customFormat="1" ht="116.5" customHeight="1" thickBot="1" x14ac:dyDescent="0.5">
      <c r="B2" s="88"/>
      <c r="C2" s="19"/>
      <c r="D2" s="19"/>
      <c r="E2" s="37" t="s">
        <v>34</v>
      </c>
      <c r="F2" s="38" t="s">
        <v>35</v>
      </c>
      <c r="G2" s="38" t="s">
        <v>36</v>
      </c>
      <c r="H2" s="38" t="s">
        <v>37</v>
      </c>
      <c r="I2" s="39" t="s">
        <v>38</v>
      </c>
      <c r="J2" s="40" t="s">
        <v>34</v>
      </c>
      <c r="K2" s="41" t="s">
        <v>35</v>
      </c>
      <c r="L2" s="41" t="s">
        <v>36</v>
      </c>
      <c r="M2" s="41" t="s">
        <v>37</v>
      </c>
      <c r="N2" s="42" t="s">
        <v>38</v>
      </c>
      <c r="O2" s="71" t="s">
        <v>129</v>
      </c>
      <c r="P2" s="71" t="s">
        <v>70</v>
      </c>
      <c r="Q2" s="71" t="s">
        <v>130</v>
      </c>
      <c r="R2" s="74" t="s">
        <v>63</v>
      </c>
      <c r="S2" s="75" t="s">
        <v>124</v>
      </c>
      <c r="T2" s="77" t="s">
        <v>64</v>
      </c>
      <c r="U2" s="78" t="s">
        <v>125</v>
      </c>
      <c r="V2" s="79" t="s">
        <v>65</v>
      </c>
      <c r="W2" s="80" t="s">
        <v>126</v>
      </c>
      <c r="X2" s="76" t="s">
        <v>128</v>
      </c>
      <c r="Y2" s="76" t="s">
        <v>127</v>
      </c>
      <c r="Z2" s="57" t="s">
        <v>58</v>
      </c>
      <c r="AA2" s="57" t="s">
        <v>59</v>
      </c>
    </row>
    <row r="3" spans="2:28" s="18" customFormat="1" ht="36.65" customHeight="1" x14ac:dyDescent="0.45">
      <c r="B3" s="282" t="s">
        <v>62</v>
      </c>
      <c r="C3" s="11" t="s">
        <v>61</v>
      </c>
      <c r="D3" s="11">
        <f>Dashboard!C9</f>
        <v>30</v>
      </c>
      <c r="E3" s="96"/>
      <c r="F3" s="26"/>
      <c r="G3" s="26"/>
      <c r="H3" s="26"/>
      <c r="I3" s="97"/>
      <c r="J3" s="26">
        <f>1/30*D3</f>
        <v>1</v>
      </c>
      <c r="K3" s="26">
        <f>3/30 * O3</f>
        <v>3</v>
      </c>
      <c r="L3" s="26">
        <f>6/30 * O3</f>
        <v>6</v>
      </c>
      <c r="M3" s="26">
        <f>14/30 *O3</f>
        <v>14</v>
      </c>
      <c r="N3" s="26">
        <f>6/30 * O3</f>
        <v>6</v>
      </c>
      <c r="O3" s="96">
        <f>Dashboard!C9</f>
        <v>30</v>
      </c>
      <c r="P3" s="96"/>
      <c r="Q3" s="96"/>
      <c r="R3" s="96"/>
      <c r="S3" s="26"/>
      <c r="T3" s="96"/>
      <c r="U3" s="26"/>
      <c r="V3" s="96"/>
      <c r="W3" s="26"/>
      <c r="X3" s="96"/>
      <c r="Y3" s="96"/>
      <c r="Z3" s="238">
        <f>Dashboard!C8</f>
        <v>40</v>
      </c>
      <c r="AA3" s="100"/>
    </row>
    <row r="4" spans="2:28" s="18" customFormat="1" ht="41.15" customHeight="1" x14ac:dyDescent="0.45">
      <c r="B4" s="282"/>
      <c r="C4" s="11" t="s">
        <v>24</v>
      </c>
      <c r="D4" s="11"/>
      <c r="E4" s="98"/>
      <c r="F4" s="5"/>
      <c r="G4" s="5"/>
      <c r="H4" s="5"/>
      <c r="I4" s="99"/>
      <c r="J4" s="102">
        <v>0.90277777777777779</v>
      </c>
      <c r="K4" s="102">
        <v>0.90277777777777779</v>
      </c>
      <c r="L4" s="102">
        <v>0.90277777777777779</v>
      </c>
      <c r="M4" s="102">
        <v>0.90277777777777779</v>
      </c>
      <c r="N4" s="102">
        <v>0.90277777777777779</v>
      </c>
      <c r="O4" s="98"/>
      <c r="P4" s="98"/>
      <c r="Q4" s="98"/>
      <c r="R4" s="98"/>
      <c r="S4" s="5"/>
      <c r="T4" s="98"/>
      <c r="U4" s="5"/>
      <c r="V4" s="98"/>
      <c r="W4" s="5"/>
      <c r="X4" s="98"/>
      <c r="Y4" s="98"/>
      <c r="Z4" s="99"/>
      <c r="AA4" s="103"/>
    </row>
    <row r="5" spans="2:28" s="18" customFormat="1" ht="38.5" customHeight="1" x14ac:dyDescent="0.45">
      <c r="B5" s="282"/>
      <c r="C5" s="11" t="s">
        <v>123</v>
      </c>
      <c r="D5" s="11"/>
      <c r="E5" s="98"/>
      <c r="F5" s="5"/>
      <c r="G5" s="5"/>
      <c r="H5" s="5"/>
      <c r="I5" s="99"/>
      <c r="J5" s="102"/>
      <c r="K5" s="102"/>
      <c r="L5" s="102"/>
      <c r="M5" s="102"/>
      <c r="N5" s="102"/>
      <c r="O5" s="205">
        <f>Dashboard!C7</f>
        <v>0.25</v>
      </c>
      <c r="P5" s="98"/>
      <c r="Q5" s="98"/>
      <c r="R5" s="98"/>
      <c r="S5" s="5"/>
      <c r="T5" s="98"/>
      <c r="U5" s="5"/>
      <c r="V5" s="98"/>
      <c r="W5" s="5"/>
      <c r="X5" s="237">
        <f>Dashboard!C10</f>
        <v>10</v>
      </c>
      <c r="Y5" s="98"/>
      <c r="Z5" s="99"/>
      <c r="AA5" s="103"/>
    </row>
    <row r="6" spans="2:28" s="18" customFormat="1" ht="51.65" customHeight="1" thickBot="1" x14ac:dyDescent="0.5">
      <c r="B6" s="282"/>
      <c r="C6" s="11" t="s">
        <v>66</v>
      </c>
      <c r="D6" s="11"/>
      <c r="E6" s="98"/>
      <c r="F6" s="5"/>
      <c r="G6" s="5"/>
      <c r="H6" s="5"/>
      <c r="I6" s="99"/>
      <c r="J6" s="102"/>
      <c r="K6" s="102"/>
      <c r="L6" s="102"/>
      <c r="M6" s="102"/>
      <c r="N6" s="102"/>
      <c r="O6" s="98"/>
      <c r="P6" s="98">
        <f>Dashboard!C22</f>
        <v>3</v>
      </c>
      <c r="Q6" s="98"/>
      <c r="R6" s="98"/>
      <c r="S6" s="5"/>
      <c r="T6" s="98"/>
      <c r="U6" s="5"/>
      <c r="V6" s="98"/>
      <c r="W6" s="5"/>
      <c r="X6" s="122">
        <f>P6</f>
        <v>3</v>
      </c>
      <c r="Y6" s="98"/>
      <c r="Z6" s="99"/>
      <c r="AA6" s="103"/>
    </row>
    <row r="7" spans="2:28" s="18" customFormat="1" ht="46.5" customHeight="1" thickBot="1" x14ac:dyDescent="0.5">
      <c r="B7" s="101"/>
      <c r="C7" s="101"/>
      <c r="D7" s="101"/>
      <c r="E7" s="101"/>
      <c r="F7" s="101"/>
      <c r="G7" s="101"/>
      <c r="H7" s="101"/>
      <c r="I7" s="101"/>
      <c r="J7" s="26"/>
      <c r="K7" s="26"/>
      <c r="L7" s="101"/>
      <c r="M7" s="101"/>
      <c r="N7" s="101"/>
      <c r="O7" s="147"/>
      <c r="P7" s="148"/>
      <c r="Q7" s="101"/>
      <c r="R7" s="101"/>
      <c r="S7" s="101"/>
      <c r="T7" s="101"/>
      <c r="U7" s="101"/>
      <c r="V7" s="101"/>
      <c r="W7" s="101"/>
      <c r="X7" s="101"/>
      <c r="Y7" s="101"/>
      <c r="Z7" s="101"/>
      <c r="AA7" s="246" t="s">
        <v>191</v>
      </c>
    </row>
    <row r="8" spans="2:28" ht="14.5" customHeight="1" x14ac:dyDescent="0.35">
      <c r="B8" s="283" t="s">
        <v>21</v>
      </c>
      <c r="C8" s="22" t="s">
        <v>16</v>
      </c>
      <c r="D8" s="34">
        <f>'Health and Mental Health'!K4</f>
        <v>272.66628265259277</v>
      </c>
      <c r="E8" s="89">
        <v>0</v>
      </c>
      <c r="F8" s="90">
        <v>0.67</v>
      </c>
      <c r="G8" s="90">
        <v>0.16666666999999999</v>
      </c>
      <c r="H8" s="90">
        <v>1.5714300000000001</v>
      </c>
      <c r="I8" s="91">
        <v>0.5</v>
      </c>
      <c r="J8" s="23">
        <f t="shared" ref="J8:J28" si="0">D8*E8*J$3</f>
        <v>0</v>
      </c>
      <c r="K8" s="35">
        <f t="shared" ref="K8:K28" si="1">$D8*F8*K$3</f>
        <v>548.05922813171151</v>
      </c>
      <c r="L8" s="35">
        <f t="shared" ref="L8:L28" si="2">$D8*G8*L$3</f>
        <v>272.6662881059184</v>
      </c>
      <c r="M8" s="23">
        <f t="shared" ref="M8:M28" si="3">$D8*H8*M$3</f>
        <v>5998.6636716826943</v>
      </c>
      <c r="N8" s="23">
        <f t="shared" ref="N8:N28" si="4">$D8*I8*N$3</f>
        <v>817.99884795777825</v>
      </c>
      <c r="O8" s="27">
        <f>SUM(J8:N8)</f>
        <v>7637.3880358781025</v>
      </c>
      <c r="P8" s="146">
        <f>SUM(O8:O15)/O$3 * P$6</f>
        <v>27791.995935127419</v>
      </c>
      <c r="Q8" s="146">
        <f t="shared" ref="Q8:Q35" si="5">O8+((O8/$O$3)*$X$5)</f>
        <v>10183.184047837471</v>
      </c>
      <c r="R8" s="104">
        <v>0.15</v>
      </c>
      <c r="S8" s="67">
        <f>O8*R8</f>
        <v>1145.6082053817154</v>
      </c>
      <c r="T8" s="111">
        <v>0.1</v>
      </c>
      <c r="U8" s="48">
        <f>$O8*T8</f>
        <v>763.73880358781025</v>
      </c>
      <c r="V8" s="117">
        <v>0.05</v>
      </c>
      <c r="W8" s="48">
        <f>$O8*V8</f>
        <v>381.86940179390513</v>
      </c>
      <c r="X8" s="43">
        <f t="shared" ref="X8:X35" si="6">(O8/$O$3)*$X$5*$X$6</f>
        <v>7637.3880358781025</v>
      </c>
      <c r="Y8" s="43">
        <f>X8+S8+U8+W8</f>
        <v>9928.6044466415333</v>
      </c>
      <c r="Z8" s="53">
        <f t="shared" ref="Z8:Z35" si="7">Y8/Z$3</f>
        <v>248.21511116603833</v>
      </c>
      <c r="AA8" s="84">
        <f>SUM(Z8:Z15)</f>
        <v>11497.391915089498</v>
      </c>
    </row>
    <row r="9" spans="2:28" ht="29.15" customHeight="1" x14ac:dyDescent="0.35">
      <c r="B9" s="284"/>
      <c r="C9" s="11" t="s">
        <v>15</v>
      </c>
      <c r="D9" s="30">
        <f>'Health and Mental Health'!K5</f>
        <v>4682.5118880703458</v>
      </c>
      <c r="E9" s="86">
        <v>2.5</v>
      </c>
      <c r="F9" s="82">
        <v>2.5</v>
      </c>
      <c r="G9" s="82">
        <v>0.17</v>
      </c>
      <c r="H9" s="82">
        <v>3</v>
      </c>
      <c r="I9" s="83">
        <v>0.16666666999999999</v>
      </c>
      <c r="J9" s="7">
        <f t="shared" si="0"/>
        <v>11706.279720175864</v>
      </c>
      <c r="K9" s="31">
        <f t="shared" si="1"/>
        <v>35118.83916052759</v>
      </c>
      <c r="L9" s="31">
        <f t="shared" si="2"/>
        <v>4776.1621258317527</v>
      </c>
      <c r="M9" s="7">
        <f t="shared" si="3"/>
        <v>196665.49929895453</v>
      </c>
      <c r="N9" s="7">
        <f t="shared" si="4"/>
        <v>4682.5119817205832</v>
      </c>
      <c r="O9" s="28">
        <f t="shared" ref="O9:O34" si="8">SUM(J9:N9)</f>
        <v>252949.29228721029</v>
      </c>
      <c r="P9" s="28"/>
      <c r="Q9" s="28">
        <f t="shared" si="5"/>
        <v>337265.72304961376</v>
      </c>
      <c r="R9" s="105">
        <v>0.15</v>
      </c>
      <c r="S9" s="16">
        <f t="shared" ref="S9:S34" si="9">O9*R9</f>
        <v>37942.39384308154</v>
      </c>
      <c r="T9" s="111">
        <v>0.1</v>
      </c>
      <c r="U9" s="48">
        <f t="shared" ref="U9:U34" si="10">$O9*T9</f>
        <v>25294.92922872103</v>
      </c>
      <c r="V9" s="117">
        <v>0.05</v>
      </c>
      <c r="W9" s="48">
        <f t="shared" ref="W9:W34" si="11">$O9*V9</f>
        <v>12647.464614360515</v>
      </c>
      <c r="X9" s="47">
        <f t="shared" si="6"/>
        <v>252949.29228721032</v>
      </c>
      <c r="Y9" s="47">
        <f t="shared" ref="Y9:Y35" si="12">X9+S9+U9+W9</f>
        <v>328834.07997337339</v>
      </c>
      <c r="Z9" s="54">
        <f t="shared" si="7"/>
        <v>8220.8519993343343</v>
      </c>
      <c r="AA9" s="63"/>
    </row>
    <row r="10" spans="2:28" ht="29.15" customHeight="1" x14ac:dyDescent="0.35">
      <c r="B10" s="284"/>
      <c r="C10" s="11" t="s">
        <v>32</v>
      </c>
      <c r="D10" s="30">
        <f>'Health and Mental Health'!K6</f>
        <v>1512.178175993472</v>
      </c>
      <c r="E10" s="86">
        <v>0</v>
      </c>
      <c r="F10" s="82">
        <v>0.02</v>
      </c>
      <c r="G10" s="82">
        <v>0.02</v>
      </c>
      <c r="H10" s="82">
        <v>0.02</v>
      </c>
      <c r="I10" s="83">
        <v>0.02</v>
      </c>
      <c r="J10" s="7">
        <f t="shared" si="0"/>
        <v>0</v>
      </c>
      <c r="K10" s="7">
        <f t="shared" si="1"/>
        <v>90.73069055960832</v>
      </c>
      <c r="L10" s="7">
        <f t="shared" si="2"/>
        <v>181.46138111921664</v>
      </c>
      <c r="M10" s="7">
        <f t="shared" si="3"/>
        <v>423.40988927817216</v>
      </c>
      <c r="N10" s="7">
        <f t="shared" si="4"/>
        <v>181.46138111921664</v>
      </c>
      <c r="O10" s="28">
        <f>SUM(J10:N10)</f>
        <v>877.06334207621376</v>
      </c>
      <c r="P10" s="28"/>
      <c r="Q10" s="28">
        <f t="shared" si="5"/>
        <v>1169.4177894349516</v>
      </c>
      <c r="R10" s="105">
        <v>0.15</v>
      </c>
      <c r="S10" s="16">
        <f t="shared" si="9"/>
        <v>131.55950131143206</v>
      </c>
      <c r="T10" s="111">
        <v>0.1</v>
      </c>
      <c r="U10" s="48">
        <f t="shared" si="10"/>
        <v>87.706334207621381</v>
      </c>
      <c r="V10" s="117">
        <v>0.05</v>
      </c>
      <c r="W10" s="48">
        <f t="shared" si="11"/>
        <v>43.853167103810691</v>
      </c>
      <c r="X10" s="47">
        <f t="shared" si="6"/>
        <v>877.06334207621376</v>
      </c>
      <c r="Y10" s="47">
        <f t="shared" si="12"/>
        <v>1140.1823446990779</v>
      </c>
      <c r="Z10" s="54">
        <f t="shared" si="7"/>
        <v>28.504558617476949</v>
      </c>
      <c r="AA10" s="63"/>
    </row>
    <row r="11" spans="2:28" x14ac:dyDescent="0.35">
      <c r="B11" s="284"/>
      <c r="C11" s="11" t="s">
        <v>52</v>
      </c>
      <c r="D11" s="30">
        <f>'Health and Mental Health'!K7</f>
        <v>4614.7875518874389</v>
      </c>
      <c r="E11" s="86">
        <v>0.5</v>
      </c>
      <c r="F11" s="82">
        <v>0.02</v>
      </c>
      <c r="G11" s="82">
        <v>0.02</v>
      </c>
      <c r="H11" s="82">
        <v>0.02</v>
      </c>
      <c r="I11" s="83">
        <v>0.1</v>
      </c>
      <c r="J11" s="7">
        <f t="shared" si="0"/>
        <v>2307.3937759437194</v>
      </c>
      <c r="K11" s="7">
        <f t="shared" si="1"/>
        <v>276.88725311324635</v>
      </c>
      <c r="L11" s="7">
        <f t="shared" si="2"/>
        <v>553.77450622649269</v>
      </c>
      <c r="M11" s="7">
        <f t="shared" si="3"/>
        <v>1292.140514528483</v>
      </c>
      <c r="N11" s="7">
        <f t="shared" si="4"/>
        <v>2768.8725311324633</v>
      </c>
      <c r="O11" s="28">
        <f t="shared" si="8"/>
        <v>7199.0685809444049</v>
      </c>
      <c r="P11" s="28"/>
      <c r="Q11" s="28">
        <f t="shared" si="5"/>
        <v>9598.7581079258744</v>
      </c>
      <c r="R11" s="105">
        <v>0.15</v>
      </c>
      <c r="S11" s="16">
        <f t="shared" si="9"/>
        <v>1079.8602871416606</v>
      </c>
      <c r="T11" s="111">
        <v>0.1</v>
      </c>
      <c r="U11" s="48">
        <f t="shared" si="10"/>
        <v>719.90685809444051</v>
      </c>
      <c r="V11" s="117">
        <v>0.05</v>
      </c>
      <c r="W11" s="48">
        <f t="shared" si="11"/>
        <v>359.95342904722025</v>
      </c>
      <c r="X11" s="47">
        <f t="shared" si="6"/>
        <v>7199.0685809444058</v>
      </c>
      <c r="Y11" s="47">
        <f t="shared" si="12"/>
        <v>9358.789155227727</v>
      </c>
      <c r="Z11" s="54">
        <f t="shared" si="7"/>
        <v>233.96972888069317</v>
      </c>
      <c r="AA11" s="63"/>
    </row>
    <row r="12" spans="2:28" ht="29" x14ac:dyDescent="0.35">
      <c r="B12" s="284"/>
      <c r="C12" s="11" t="s">
        <v>13</v>
      </c>
      <c r="D12" s="30">
        <f>'Health and Mental Health'!K8</f>
        <v>3878.7071999999994</v>
      </c>
      <c r="E12" s="86">
        <v>0</v>
      </c>
      <c r="F12" s="82">
        <v>6.0000000000000001E-3</v>
      </c>
      <c r="G12" s="82">
        <v>6.0000000000000001E-3</v>
      </c>
      <c r="H12" s="82">
        <v>6.0000000000000001E-3</v>
      </c>
      <c r="I12" s="83">
        <v>6.0000000000000001E-3</v>
      </c>
      <c r="J12" s="7">
        <f t="shared" si="0"/>
        <v>0</v>
      </c>
      <c r="K12" s="7">
        <f t="shared" si="1"/>
        <v>69.816729600000002</v>
      </c>
      <c r="L12" s="7">
        <f t="shared" si="2"/>
        <v>139.6334592</v>
      </c>
      <c r="M12" s="7">
        <f t="shared" si="3"/>
        <v>325.81140479999999</v>
      </c>
      <c r="N12" s="7">
        <f t="shared" si="4"/>
        <v>139.6334592</v>
      </c>
      <c r="O12" s="28">
        <f t="shared" si="8"/>
        <v>674.89505280000003</v>
      </c>
      <c r="P12" s="28"/>
      <c r="Q12" s="28">
        <f t="shared" si="5"/>
        <v>899.86007040000004</v>
      </c>
      <c r="R12" s="105">
        <v>10</v>
      </c>
      <c r="S12" s="16">
        <f t="shared" si="9"/>
        <v>6748.9505280000003</v>
      </c>
      <c r="T12" s="111">
        <v>5</v>
      </c>
      <c r="U12" s="48">
        <f t="shared" si="10"/>
        <v>3374.4752640000002</v>
      </c>
      <c r="V12" s="117">
        <v>0</v>
      </c>
      <c r="W12" s="48">
        <f t="shared" si="11"/>
        <v>0</v>
      </c>
      <c r="X12" s="47">
        <f t="shared" si="6"/>
        <v>674.89505280000003</v>
      </c>
      <c r="Y12" s="47">
        <f t="shared" si="12"/>
        <v>10798.3208448</v>
      </c>
      <c r="Z12" s="54">
        <f t="shared" si="7"/>
        <v>269.95802112000001</v>
      </c>
      <c r="AA12" s="63"/>
    </row>
    <row r="13" spans="2:28" s="59" customFormat="1" ht="18.5" x14ac:dyDescent="0.45">
      <c r="B13" s="284"/>
      <c r="C13" s="11" t="s">
        <v>25</v>
      </c>
      <c r="D13" s="30">
        <f>'Health and Mental Health'!K9</f>
        <v>1567.236621576787</v>
      </c>
      <c r="E13" s="86">
        <v>0.05</v>
      </c>
      <c r="F13" s="82">
        <v>0.05</v>
      </c>
      <c r="G13" s="82">
        <v>0.05</v>
      </c>
      <c r="H13" s="82">
        <v>0.05</v>
      </c>
      <c r="I13" s="83">
        <v>0.05</v>
      </c>
      <c r="J13" s="31">
        <f t="shared" si="0"/>
        <v>78.361831078839359</v>
      </c>
      <c r="K13" s="31">
        <f t="shared" si="1"/>
        <v>235.08549323651806</v>
      </c>
      <c r="L13" s="31">
        <f t="shared" si="2"/>
        <v>470.17098647303612</v>
      </c>
      <c r="M13" s="31">
        <f t="shared" si="3"/>
        <v>1097.065635103751</v>
      </c>
      <c r="N13" s="31">
        <f t="shared" si="4"/>
        <v>470.17098647303612</v>
      </c>
      <c r="O13" s="30">
        <f t="shared" si="8"/>
        <v>2350.8549323651805</v>
      </c>
      <c r="P13" s="30"/>
      <c r="Q13" s="30">
        <f t="shared" si="5"/>
        <v>3134.473243153574</v>
      </c>
      <c r="R13" s="106">
        <v>0.15</v>
      </c>
      <c r="S13" s="68">
        <f t="shared" si="9"/>
        <v>352.62823985477706</v>
      </c>
      <c r="T13" s="112">
        <v>0.05</v>
      </c>
      <c r="U13" s="61">
        <f t="shared" si="10"/>
        <v>117.54274661825903</v>
      </c>
      <c r="V13" s="118">
        <v>0</v>
      </c>
      <c r="W13" s="61">
        <f t="shared" si="11"/>
        <v>0</v>
      </c>
      <c r="X13" s="60">
        <f t="shared" si="6"/>
        <v>2350.8549323651805</v>
      </c>
      <c r="Y13" s="60">
        <f t="shared" si="12"/>
        <v>2821.0259188382165</v>
      </c>
      <c r="Z13" s="62">
        <f t="shared" si="7"/>
        <v>70.525647970955418</v>
      </c>
      <c r="AA13" s="65"/>
      <c r="AB13" s="245"/>
    </row>
    <row r="14" spans="2:28" s="59" customFormat="1" ht="18.5" x14ac:dyDescent="0.45">
      <c r="B14" s="284"/>
      <c r="C14" s="11" t="s">
        <v>12</v>
      </c>
      <c r="D14" s="30">
        <f>'Health and Mental Health'!K10</f>
        <v>800</v>
      </c>
      <c r="E14" s="86">
        <v>0</v>
      </c>
      <c r="F14" s="82">
        <v>3.0000000000000001E-3</v>
      </c>
      <c r="G14" s="82">
        <v>3.0000000000000001E-3</v>
      </c>
      <c r="H14" s="82">
        <v>0.01</v>
      </c>
      <c r="I14" s="83">
        <v>0.01</v>
      </c>
      <c r="J14" s="31">
        <f t="shared" si="0"/>
        <v>0</v>
      </c>
      <c r="K14" s="31">
        <f t="shared" si="1"/>
        <v>7.1999999999999993</v>
      </c>
      <c r="L14" s="31">
        <f t="shared" si="2"/>
        <v>14.399999999999999</v>
      </c>
      <c r="M14" s="31">
        <f t="shared" si="3"/>
        <v>112</v>
      </c>
      <c r="N14" s="31">
        <f t="shared" si="4"/>
        <v>48</v>
      </c>
      <c r="O14" s="30">
        <f t="shared" si="8"/>
        <v>181.6</v>
      </c>
      <c r="P14" s="30"/>
      <c r="Q14" s="30">
        <f t="shared" si="5"/>
        <v>242.13333333333333</v>
      </c>
      <c r="R14" s="106">
        <v>0.15</v>
      </c>
      <c r="S14" s="68">
        <f t="shared" si="9"/>
        <v>27.24</v>
      </c>
      <c r="T14" s="112">
        <v>0.05</v>
      </c>
      <c r="U14" s="61">
        <f t="shared" si="10"/>
        <v>9.08</v>
      </c>
      <c r="V14" s="118">
        <v>0</v>
      </c>
      <c r="W14" s="61">
        <f t="shared" si="11"/>
        <v>0</v>
      </c>
      <c r="X14" s="60">
        <f t="shared" si="6"/>
        <v>181.6</v>
      </c>
      <c r="Y14" s="60">
        <f t="shared" si="12"/>
        <v>217.92000000000002</v>
      </c>
      <c r="Z14" s="62">
        <f t="shared" si="7"/>
        <v>5.4480000000000004</v>
      </c>
      <c r="AA14" s="65"/>
      <c r="AB14" s="245"/>
    </row>
    <row r="15" spans="2:28" ht="45" thickBot="1" x14ac:dyDescent="0.5">
      <c r="B15" s="285"/>
      <c r="C15" s="24" t="s">
        <v>75</v>
      </c>
      <c r="D15" s="36">
        <f>'Health and Mental Health'!K11</f>
        <v>201.65990399999998</v>
      </c>
      <c r="E15" s="92">
        <v>1</v>
      </c>
      <c r="F15" s="93">
        <v>1</v>
      </c>
      <c r="G15" s="93">
        <v>1</v>
      </c>
      <c r="H15" s="93">
        <v>1</v>
      </c>
      <c r="I15" s="87">
        <v>1</v>
      </c>
      <c r="J15" s="25">
        <f t="shared" si="0"/>
        <v>201.65990399999998</v>
      </c>
      <c r="K15" s="25">
        <f t="shared" si="1"/>
        <v>604.97971199999995</v>
      </c>
      <c r="L15" s="25">
        <f t="shared" si="2"/>
        <v>1209.9594239999999</v>
      </c>
      <c r="M15" s="25">
        <f t="shared" si="3"/>
        <v>2823.2386559999995</v>
      </c>
      <c r="N15" s="25">
        <f t="shared" si="4"/>
        <v>1209.9594239999999</v>
      </c>
      <c r="O15" s="29">
        <f>SUM(J15:N15)</f>
        <v>6049.7971199999993</v>
      </c>
      <c r="P15" s="29"/>
      <c r="Q15" s="29">
        <f t="shared" si="5"/>
        <v>8066.3961599999993</v>
      </c>
      <c r="R15" s="107">
        <v>5</v>
      </c>
      <c r="S15" s="69">
        <f>O15*R15</f>
        <v>30248.985599999996</v>
      </c>
      <c r="T15" s="113">
        <v>5</v>
      </c>
      <c r="U15" s="50">
        <f>$O15*T15</f>
        <v>30248.985599999996</v>
      </c>
      <c r="V15" s="119">
        <v>5</v>
      </c>
      <c r="W15" s="50">
        <f>$O15*V15</f>
        <v>30248.985599999996</v>
      </c>
      <c r="X15" s="49">
        <f t="shared" si="6"/>
        <v>6049.7971199999993</v>
      </c>
      <c r="Y15" s="49">
        <f t="shared" si="12"/>
        <v>96796.753919999988</v>
      </c>
      <c r="Z15" s="55">
        <f t="shared" si="7"/>
        <v>2419.9188479999998</v>
      </c>
      <c r="AA15" s="64"/>
      <c r="AB15" s="245"/>
    </row>
    <row r="16" spans="2:28" ht="18.5" x14ac:dyDescent="0.45">
      <c r="B16" s="286" t="s">
        <v>22</v>
      </c>
      <c r="C16" s="22" t="s">
        <v>39</v>
      </c>
      <c r="D16" s="34">
        <f>'Health and Mental Health'!K12</f>
        <v>3011.2881600000001</v>
      </c>
      <c r="E16" s="89">
        <v>0</v>
      </c>
      <c r="F16" s="90">
        <v>0</v>
      </c>
      <c r="G16" s="90">
        <v>0.41666667000000002</v>
      </c>
      <c r="H16" s="90">
        <v>0.6</v>
      </c>
      <c r="I16" s="91">
        <v>0.79166999999999998</v>
      </c>
      <c r="J16" s="23">
        <f t="shared" si="0"/>
        <v>0</v>
      </c>
      <c r="K16" s="23">
        <f t="shared" si="1"/>
        <v>0</v>
      </c>
      <c r="L16" s="23">
        <f t="shared" si="2"/>
        <v>7528.2204602257634</v>
      </c>
      <c r="M16" s="23">
        <f t="shared" si="3"/>
        <v>25294.820543999998</v>
      </c>
      <c r="N16" s="23">
        <f t="shared" si="4"/>
        <v>14303.678985763201</v>
      </c>
      <c r="O16" s="27">
        <f t="shared" si="8"/>
        <v>47126.719989988967</v>
      </c>
      <c r="P16" s="84">
        <f>SUM(O16:O19)/O$3 * P$6</f>
        <v>6464.0988271623464</v>
      </c>
      <c r="Q16" s="149">
        <f t="shared" si="5"/>
        <v>62835.626653318621</v>
      </c>
      <c r="R16" s="108">
        <v>0.75</v>
      </c>
      <c r="S16" s="67">
        <f t="shared" si="9"/>
        <v>35345.039992491729</v>
      </c>
      <c r="T16" s="114">
        <v>0.65</v>
      </c>
      <c r="U16" s="46">
        <f t="shared" si="10"/>
        <v>30632.36799349283</v>
      </c>
      <c r="V16" s="120">
        <v>0.65</v>
      </c>
      <c r="W16" s="46">
        <f t="shared" si="11"/>
        <v>30632.36799349283</v>
      </c>
      <c r="X16" s="43">
        <f t="shared" si="6"/>
        <v>47126.719989988967</v>
      </c>
      <c r="Y16" s="43">
        <f t="shared" si="12"/>
        <v>143736.49596946637</v>
      </c>
      <c r="Z16" s="53">
        <f t="shared" si="7"/>
        <v>3593.4123992366594</v>
      </c>
      <c r="AA16" s="84">
        <f>SUM(Z16:Z19)</f>
        <v>5148.413966026611</v>
      </c>
      <c r="AB16" s="245"/>
    </row>
    <row r="17" spans="2:28" ht="18.5" x14ac:dyDescent="0.45">
      <c r="B17" s="287"/>
      <c r="C17" s="11" t="s">
        <v>9</v>
      </c>
      <c r="D17" s="30">
        <f>'Health and Mental Health'!K14</f>
        <v>890.70719999999994</v>
      </c>
      <c r="E17" s="86">
        <v>0</v>
      </c>
      <c r="F17" s="82">
        <v>0</v>
      </c>
      <c r="G17" s="82">
        <v>0</v>
      </c>
      <c r="H17" s="82">
        <v>7.714E-2</v>
      </c>
      <c r="I17" s="83">
        <v>0.125</v>
      </c>
      <c r="J17" s="7">
        <f t="shared" si="0"/>
        <v>0</v>
      </c>
      <c r="K17" s="7">
        <f t="shared" si="1"/>
        <v>0</v>
      </c>
      <c r="L17" s="7">
        <f t="shared" si="2"/>
        <v>0</v>
      </c>
      <c r="M17" s="7">
        <f t="shared" si="3"/>
        <v>961.92814771199983</v>
      </c>
      <c r="N17" s="7">
        <f t="shared" si="4"/>
        <v>668.03039999999999</v>
      </c>
      <c r="O17" s="28">
        <f t="shared" si="8"/>
        <v>1629.9585477119999</v>
      </c>
      <c r="P17" s="28"/>
      <c r="Q17" s="28">
        <f t="shared" si="5"/>
        <v>2173.2780636159996</v>
      </c>
      <c r="R17" s="105">
        <v>0.75</v>
      </c>
      <c r="S17" s="16">
        <f t="shared" si="9"/>
        <v>1222.4689107839999</v>
      </c>
      <c r="T17" s="111">
        <v>0.65</v>
      </c>
      <c r="U17" s="48">
        <f t="shared" si="10"/>
        <v>1059.4730560128</v>
      </c>
      <c r="V17" s="117">
        <v>0.65</v>
      </c>
      <c r="W17" s="48">
        <f t="shared" si="11"/>
        <v>1059.4730560128</v>
      </c>
      <c r="X17" s="47">
        <f t="shared" si="6"/>
        <v>1629.9585477119997</v>
      </c>
      <c r="Y17" s="47">
        <f t="shared" si="12"/>
        <v>4971.3735705215995</v>
      </c>
      <c r="Z17" s="54">
        <f t="shared" si="7"/>
        <v>124.28433926303998</v>
      </c>
      <c r="AA17" s="63"/>
      <c r="AB17" s="245"/>
    </row>
    <row r="18" spans="2:28" ht="18.5" x14ac:dyDescent="0.45">
      <c r="B18" s="287"/>
      <c r="C18" s="20" t="s">
        <v>33</v>
      </c>
      <c r="D18" s="30">
        <f>'Health and Mental Health'!K15</f>
        <v>6065.5065840198258</v>
      </c>
      <c r="E18" s="86">
        <v>0.05</v>
      </c>
      <c r="F18" s="82">
        <v>0.05</v>
      </c>
      <c r="G18" s="82">
        <v>0.05</v>
      </c>
      <c r="H18" s="82">
        <v>0.05</v>
      </c>
      <c r="I18" s="83">
        <v>0.05</v>
      </c>
      <c r="J18" s="7">
        <f t="shared" si="0"/>
        <v>303.27532920099128</v>
      </c>
      <c r="K18" s="7">
        <f t="shared" si="1"/>
        <v>909.82598760297378</v>
      </c>
      <c r="L18" s="7">
        <f t="shared" si="2"/>
        <v>1819.6519752059476</v>
      </c>
      <c r="M18" s="7">
        <f t="shared" si="3"/>
        <v>4245.8546088138783</v>
      </c>
      <c r="N18" s="7">
        <f t="shared" si="4"/>
        <v>1819.6519752059476</v>
      </c>
      <c r="O18" s="28">
        <f t="shared" si="8"/>
        <v>9098.2598760297387</v>
      </c>
      <c r="P18" s="28"/>
      <c r="Q18" s="28">
        <f t="shared" si="5"/>
        <v>12131.013168039652</v>
      </c>
      <c r="R18" s="105">
        <v>1</v>
      </c>
      <c r="S18" s="16">
        <f t="shared" si="9"/>
        <v>9098.2598760297387</v>
      </c>
      <c r="T18" s="111">
        <v>1.25</v>
      </c>
      <c r="U18" s="48">
        <f t="shared" si="10"/>
        <v>11372.824845037174</v>
      </c>
      <c r="V18" s="117">
        <v>1.25</v>
      </c>
      <c r="W18" s="48">
        <f t="shared" si="11"/>
        <v>11372.824845037174</v>
      </c>
      <c r="X18" s="47">
        <f t="shared" si="6"/>
        <v>9098.2598760297387</v>
      </c>
      <c r="Y18" s="47">
        <f t="shared" si="12"/>
        <v>40942.169442133825</v>
      </c>
      <c r="Z18" s="54">
        <f t="shared" si="7"/>
        <v>1023.5542360533457</v>
      </c>
      <c r="AA18" s="63"/>
      <c r="AB18" s="245"/>
    </row>
    <row r="19" spans="2:28" s="59" customFormat="1" ht="19" thickBot="1" x14ac:dyDescent="0.5">
      <c r="B19" s="287"/>
      <c r="C19" s="20" t="s">
        <v>8</v>
      </c>
      <c r="D19" s="30">
        <f>'Health and Mental Health'!K16</f>
        <v>932.96989907236696</v>
      </c>
      <c r="E19" s="92">
        <v>0</v>
      </c>
      <c r="F19" s="93">
        <v>0.03</v>
      </c>
      <c r="G19" s="93">
        <v>1.5299999999999999E-2</v>
      </c>
      <c r="H19" s="93">
        <v>0.5</v>
      </c>
      <c r="I19" s="87">
        <v>1.5299999999999999E-2</v>
      </c>
      <c r="J19" s="31">
        <f t="shared" si="0"/>
        <v>0</v>
      </c>
      <c r="K19" s="7">
        <f t="shared" si="1"/>
        <v>83.967290916513022</v>
      </c>
      <c r="L19" s="31">
        <f t="shared" si="2"/>
        <v>85.646636734843284</v>
      </c>
      <c r="M19" s="31">
        <f t="shared" si="3"/>
        <v>6530.7892935065684</v>
      </c>
      <c r="N19" s="31">
        <f t="shared" si="4"/>
        <v>85.646636734843284</v>
      </c>
      <c r="O19" s="30">
        <f t="shared" si="8"/>
        <v>6786.0498578927672</v>
      </c>
      <c r="P19" s="30"/>
      <c r="Q19" s="30">
        <f t="shared" si="5"/>
        <v>9048.0664771903557</v>
      </c>
      <c r="R19" s="109">
        <v>1</v>
      </c>
      <c r="S19" s="72">
        <f t="shared" si="9"/>
        <v>6786.0498578927672</v>
      </c>
      <c r="T19" s="115">
        <v>0.2</v>
      </c>
      <c r="U19" s="73">
        <f t="shared" si="10"/>
        <v>1357.2099715785534</v>
      </c>
      <c r="V19" s="118">
        <v>0.2</v>
      </c>
      <c r="W19" s="61">
        <f t="shared" si="11"/>
        <v>1357.2099715785534</v>
      </c>
      <c r="X19" s="60">
        <f t="shared" si="6"/>
        <v>6786.0498578927672</v>
      </c>
      <c r="Y19" s="60">
        <f t="shared" si="12"/>
        <v>16286.519658942641</v>
      </c>
      <c r="Z19" s="62">
        <f t="shared" si="7"/>
        <v>407.16299147356602</v>
      </c>
      <c r="AA19" s="65"/>
      <c r="AB19" s="245"/>
    </row>
    <row r="20" spans="2:28" ht="19" thickBot="1" x14ac:dyDescent="0.5">
      <c r="B20" s="15" t="s">
        <v>7</v>
      </c>
      <c r="C20" s="21"/>
      <c r="D20" s="32">
        <f>MARAC!D3</f>
        <v>576.26721685541179</v>
      </c>
      <c r="E20" s="200">
        <v>0.05</v>
      </c>
      <c r="F20" s="201">
        <v>0.2</v>
      </c>
      <c r="G20" s="201">
        <v>0.2</v>
      </c>
      <c r="H20" s="201">
        <v>1</v>
      </c>
      <c r="I20" s="201">
        <v>0.2</v>
      </c>
      <c r="J20" s="32">
        <f t="shared" si="0"/>
        <v>28.813360842770592</v>
      </c>
      <c r="K20" s="33">
        <f t="shared" si="1"/>
        <v>345.76033011324711</v>
      </c>
      <c r="L20" s="33">
        <f t="shared" si="2"/>
        <v>691.52066022649421</v>
      </c>
      <c r="M20" s="33">
        <f t="shared" si="3"/>
        <v>8067.741035975765</v>
      </c>
      <c r="N20" s="33">
        <f t="shared" si="4"/>
        <v>691.52066022649421</v>
      </c>
      <c r="O20" s="14">
        <f t="shared" si="8"/>
        <v>9825.3560473847701</v>
      </c>
      <c r="P20" s="84">
        <f>SUM(O20)/O$3 * P$6</f>
        <v>982.53560473847699</v>
      </c>
      <c r="Q20" s="149">
        <f t="shared" si="5"/>
        <v>13100.474729846359</v>
      </c>
      <c r="R20" s="110">
        <v>2</v>
      </c>
      <c r="S20" s="70">
        <f>O20*R20</f>
        <v>19650.71209476954</v>
      </c>
      <c r="T20" s="116">
        <v>0.05</v>
      </c>
      <c r="U20" s="52">
        <f t="shared" si="10"/>
        <v>491.26780236923855</v>
      </c>
      <c r="V20" s="121">
        <v>0.05</v>
      </c>
      <c r="W20" s="52">
        <f t="shared" si="11"/>
        <v>491.26780236923855</v>
      </c>
      <c r="X20" s="51">
        <f t="shared" si="6"/>
        <v>9825.3560473847683</v>
      </c>
      <c r="Y20" s="51">
        <f t="shared" si="12"/>
        <v>30458.603746892786</v>
      </c>
      <c r="Z20" s="56">
        <f t="shared" si="7"/>
        <v>761.46509367231965</v>
      </c>
      <c r="AA20" s="85">
        <f>SUM(Z20)</f>
        <v>761.46509367231965</v>
      </c>
      <c r="AB20" s="245"/>
    </row>
    <row r="21" spans="2:28" ht="18.649999999999999" customHeight="1" x14ac:dyDescent="0.35">
      <c r="B21" s="279" t="s">
        <v>44</v>
      </c>
      <c r="C21" s="22" t="s">
        <v>45</v>
      </c>
      <c r="D21" s="34">
        <f>Housing!F3</f>
        <v>1653.6320000000001</v>
      </c>
      <c r="E21" s="89">
        <v>0.3</v>
      </c>
      <c r="F21" s="90">
        <v>0.3</v>
      </c>
      <c r="G21" s="90">
        <v>0.2</v>
      </c>
      <c r="H21" s="90">
        <v>0.2</v>
      </c>
      <c r="I21" s="90">
        <v>0.2</v>
      </c>
      <c r="J21" s="34">
        <f t="shared" si="0"/>
        <v>496.08960000000002</v>
      </c>
      <c r="K21" s="35">
        <f t="shared" si="1"/>
        <v>1488.2688000000001</v>
      </c>
      <c r="L21" s="35">
        <f t="shared" si="2"/>
        <v>1984.3584000000001</v>
      </c>
      <c r="M21" s="35">
        <f t="shared" si="3"/>
        <v>4630.1696000000002</v>
      </c>
      <c r="N21" s="35">
        <f t="shared" si="4"/>
        <v>1984.3584000000001</v>
      </c>
      <c r="O21" s="27">
        <f t="shared" si="8"/>
        <v>10583.2448</v>
      </c>
      <c r="P21" s="84">
        <f>SUM(O21:O22)/O$3 * P$6</f>
        <v>1954.6572316778527</v>
      </c>
      <c r="Q21" s="149">
        <f t="shared" si="5"/>
        <v>14110.993066666668</v>
      </c>
      <c r="R21" s="108">
        <v>0.1</v>
      </c>
      <c r="S21" s="67">
        <f t="shared" si="9"/>
        <v>1058.32448</v>
      </c>
      <c r="T21" s="114">
        <v>0.1</v>
      </c>
      <c r="U21" s="46">
        <f t="shared" si="10"/>
        <v>1058.32448</v>
      </c>
      <c r="V21" s="120">
        <v>0.1</v>
      </c>
      <c r="W21" s="46">
        <f t="shared" si="11"/>
        <v>1058.32448</v>
      </c>
      <c r="X21" s="43">
        <f t="shared" si="6"/>
        <v>10583.2448</v>
      </c>
      <c r="Y21" s="43">
        <f t="shared" si="12"/>
        <v>13758.218239999998</v>
      </c>
      <c r="Z21" s="53">
        <f t="shared" si="7"/>
        <v>343.95545599999997</v>
      </c>
      <c r="AA21" s="84">
        <f>SUM(Z21:Z22)</f>
        <v>635.26360029530201</v>
      </c>
    </row>
    <row r="22" spans="2:28" ht="43.5" customHeight="1" thickBot="1" x14ac:dyDescent="0.4">
      <c r="B22" s="280"/>
      <c r="C22" s="11" t="s">
        <v>5</v>
      </c>
      <c r="D22" s="30">
        <f>Housing!F4</f>
        <v>759.60402684563758</v>
      </c>
      <c r="E22" s="86">
        <v>1</v>
      </c>
      <c r="F22" s="82">
        <v>1</v>
      </c>
      <c r="G22" s="82">
        <v>0.33</v>
      </c>
      <c r="H22" s="82">
        <v>0.33</v>
      </c>
      <c r="I22" s="82">
        <v>0.2</v>
      </c>
      <c r="J22" s="30">
        <f t="shared" si="0"/>
        <v>759.60402684563758</v>
      </c>
      <c r="K22" s="31">
        <f t="shared" si="1"/>
        <v>2278.8120805369126</v>
      </c>
      <c r="L22" s="31">
        <f t="shared" si="2"/>
        <v>1504.0159731543624</v>
      </c>
      <c r="M22" s="31">
        <f t="shared" si="3"/>
        <v>3509.3706040268457</v>
      </c>
      <c r="N22" s="31">
        <f t="shared" si="4"/>
        <v>911.52483221476518</v>
      </c>
      <c r="O22" s="28">
        <f t="shared" si="8"/>
        <v>8963.3275167785232</v>
      </c>
      <c r="P22" s="28"/>
      <c r="Q22" s="28">
        <f t="shared" si="5"/>
        <v>11951.103355704698</v>
      </c>
      <c r="R22" s="105">
        <v>0.1</v>
      </c>
      <c r="S22" s="16">
        <f t="shared" si="9"/>
        <v>896.33275167785234</v>
      </c>
      <c r="T22" s="111">
        <v>0.1</v>
      </c>
      <c r="U22" s="48">
        <f t="shared" si="10"/>
        <v>896.33275167785234</v>
      </c>
      <c r="V22" s="117">
        <v>0.1</v>
      </c>
      <c r="W22" s="48">
        <f t="shared" si="11"/>
        <v>896.33275167785234</v>
      </c>
      <c r="X22" s="47">
        <f t="shared" si="6"/>
        <v>8963.3275167785232</v>
      </c>
      <c r="Y22" s="47">
        <f t="shared" si="12"/>
        <v>11652.325771812079</v>
      </c>
      <c r="Z22" s="54">
        <f t="shared" si="7"/>
        <v>291.30814429530199</v>
      </c>
      <c r="AA22" s="63"/>
    </row>
    <row r="23" spans="2:28" ht="18.649999999999999" customHeight="1" x14ac:dyDescent="0.35">
      <c r="B23" s="269" t="s">
        <v>23</v>
      </c>
      <c r="C23" s="26" t="s">
        <v>4</v>
      </c>
      <c r="D23" s="202">
        <f>'Policing and Criminal Justice '!F3</f>
        <v>460</v>
      </c>
      <c r="E23" s="90">
        <v>1</v>
      </c>
      <c r="F23" s="90">
        <v>2</v>
      </c>
      <c r="G23" s="90">
        <v>0.2</v>
      </c>
      <c r="H23" s="90">
        <v>3</v>
      </c>
      <c r="I23" s="90">
        <v>1</v>
      </c>
      <c r="J23" s="34">
        <f t="shared" si="0"/>
        <v>460</v>
      </c>
      <c r="K23" s="35">
        <f t="shared" si="1"/>
        <v>2760</v>
      </c>
      <c r="L23" s="35">
        <f t="shared" si="2"/>
        <v>552</v>
      </c>
      <c r="M23" s="35">
        <f t="shared" si="3"/>
        <v>19320</v>
      </c>
      <c r="N23" s="35">
        <f t="shared" si="4"/>
        <v>2760</v>
      </c>
      <c r="O23" s="27">
        <f t="shared" si="8"/>
        <v>25852</v>
      </c>
      <c r="P23" s="84">
        <f>SUM(O23:O28)/O$3 * P$6</f>
        <v>6553.0449553768785</v>
      </c>
      <c r="Q23" s="149">
        <f t="shared" si="5"/>
        <v>34469.333333333336</v>
      </c>
      <c r="R23" s="108">
        <v>1.5</v>
      </c>
      <c r="S23" s="67">
        <f t="shared" si="9"/>
        <v>38778</v>
      </c>
      <c r="T23" s="114">
        <v>0.25</v>
      </c>
      <c r="U23" s="46">
        <f t="shared" si="10"/>
        <v>6463</v>
      </c>
      <c r="V23" s="120">
        <v>0.25</v>
      </c>
      <c r="W23" s="46">
        <f t="shared" si="11"/>
        <v>6463</v>
      </c>
      <c r="X23" s="43">
        <f t="shared" si="6"/>
        <v>25852</v>
      </c>
      <c r="Y23" s="43">
        <f t="shared" si="12"/>
        <v>77556</v>
      </c>
      <c r="Z23" s="53">
        <f t="shared" si="7"/>
        <v>1938.9</v>
      </c>
      <c r="AA23" s="84">
        <f>SUM(Z23:Z28)</f>
        <v>4902.3210080917452</v>
      </c>
    </row>
    <row r="24" spans="2:28" ht="35.15" customHeight="1" x14ac:dyDescent="0.35">
      <c r="B24" s="270"/>
      <c r="C24" s="5" t="s">
        <v>3</v>
      </c>
      <c r="D24" s="203">
        <f>'Policing and Criminal Justice '!F4</f>
        <v>580</v>
      </c>
      <c r="E24" s="82">
        <v>0.8</v>
      </c>
      <c r="F24" s="82">
        <v>1.6</v>
      </c>
      <c r="G24" s="82">
        <f t="shared" ref="G24:I24" si="13">G23*0.8</f>
        <v>0.16000000000000003</v>
      </c>
      <c r="H24" s="82">
        <f t="shared" si="13"/>
        <v>2.4000000000000004</v>
      </c>
      <c r="I24" s="82">
        <f t="shared" si="13"/>
        <v>0.8</v>
      </c>
      <c r="J24" s="30">
        <f t="shared" si="0"/>
        <v>464</v>
      </c>
      <c r="K24" s="31">
        <f t="shared" si="1"/>
        <v>2784</v>
      </c>
      <c r="L24" s="31">
        <f t="shared" si="2"/>
        <v>556.80000000000007</v>
      </c>
      <c r="M24" s="31">
        <f t="shared" si="3"/>
        <v>19488.000000000004</v>
      </c>
      <c r="N24" s="31">
        <f t="shared" si="4"/>
        <v>2784</v>
      </c>
      <c r="O24" s="28">
        <f t="shared" si="8"/>
        <v>26076.800000000003</v>
      </c>
      <c r="P24" s="28"/>
      <c r="Q24" s="28">
        <f t="shared" si="5"/>
        <v>34769.066666666673</v>
      </c>
      <c r="R24" s="105">
        <v>1.5</v>
      </c>
      <c r="S24" s="16">
        <f t="shared" si="9"/>
        <v>39115.200000000004</v>
      </c>
      <c r="T24" s="111">
        <v>0.25</v>
      </c>
      <c r="U24" s="48">
        <f t="shared" si="10"/>
        <v>6519.2000000000007</v>
      </c>
      <c r="V24" s="117">
        <v>0.25</v>
      </c>
      <c r="W24" s="48">
        <f t="shared" si="11"/>
        <v>6519.2000000000007</v>
      </c>
      <c r="X24" s="47">
        <f t="shared" si="6"/>
        <v>26076.800000000003</v>
      </c>
      <c r="Y24" s="47">
        <f t="shared" si="12"/>
        <v>78230.400000000009</v>
      </c>
      <c r="Z24" s="54">
        <f t="shared" si="7"/>
        <v>1955.7600000000002</v>
      </c>
      <c r="AA24" s="63"/>
    </row>
    <row r="25" spans="2:28" ht="18.649999999999999" customHeight="1" x14ac:dyDescent="0.35">
      <c r="B25" s="270"/>
      <c r="C25" s="5" t="s">
        <v>2</v>
      </c>
      <c r="D25" s="203">
        <f>'Policing and Criminal Justice '!F5</f>
        <v>526</v>
      </c>
      <c r="E25" s="82">
        <f>E23*0.2</f>
        <v>0.2</v>
      </c>
      <c r="F25" s="82">
        <f t="shared" ref="F25:I25" si="14">F23*0.2</f>
        <v>0.4</v>
      </c>
      <c r="G25" s="82">
        <f t="shared" si="14"/>
        <v>4.0000000000000008E-2</v>
      </c>
      <c r="H25" s="82">
        <f t="shared" si="14"/>
        <v>0.60000000000000009</v>
      </c>
      <c r="I25" s="82">
        <f t="shared" si="14"/>
        <v>0.2</v>
      </c>
      <c r="J25" s="30">
        <f t="shared" si="0"/>
        <v>105.2</v>
      </c>
      <c r="K25" s="31">
        <f t="shared" si="1"/>
        <v>631.20000000000005</v>
      </c>
      <c r="L25" s="31">
        <f t="shared" si="2"/>
        <v>126.24000000000001</v>
      </c>
      <c r="M25" s="31">
        <f t="shared" si="3"/>
        <v>4418.4000000000005</v>
      </c>
      <c r="N25" s="31">
        <f t="shared" si="4"/>
        <v>631.20000000000005</v>
      </c>
      <c r="O25" s="28">
        <f t="shared" si="8"/>
        <v>5912.2400000000007</v>
      </c>
      <c r="P25" s="28"/>
      <c r="Q25" s="28">
        <f t="shared" si="5"/>
        <v>7882.9866666666676</v>
      </c>
      <c r="R25" s="105">
        <v>1.5</v>
      </c>
      <c r="S25" s="16">
        <f t="shared" si="9"/>
        <v>8868.36</v>
      </c>
      <c r="T25" s="111">
        <v>0.25</v>
      </c>
      <c r="U25" s="48">
        <f t="shared" si="10"/>
        <v>1478.0600000000002</v>
      </c>
      <c r="V25" s="117">
        <v>0.25</v>
      </c>
      <c r="W25" s="48">
        <f t="shared" si="11"/>
        <v>1478.0600000000002</v>
      </c>
      <c r="X25" s="47">
        <f t="shared" si="6"/>
        <v>5912.2400000000007</v>
      </c>
      <c r="Y25" s="47">
        <f t="shared" si="12"/>
        <v>17736.72</v>
      </c>
      <c r="Z25" s="54">
        <f t="shared" si="7"/>
        <v>443.41800000000001</v>
      </c>
      <c r="AA25" s="63"/>
    </row>
    <row r="26" spans="2:28" ht="40" customHeight="1" x14ac:dyDescent="0.35">
      <c r="B26" s="270"/>
      <c r="C26" s="5" t="s">
        <v>1</v>
      </c>
      <c r="D26" s="203">
        <f>'Policing and Criminal Justice '!F6</f>
        <v>7159.0430107526881</v>
      </c>
      <c r="E26" s="82">
        <v>0.03</v>
      </c>
      <c r="F26" s="82">
        <v>0.03</v>
      </c>
      <c r="G26" s="82">
        <v>0.03</v>
      </c>
      <c r="H26" s="82">
        <v>0.03</v>
      </c>
      <c r="I26" s="82">
        <v>0.03</v>
      </c>
      <c r="J26" s="30">
        <f t="shared" si="0"/>
        <v>214.77129032258063</v>
      </c>
      <c r="K26" s="31">
        <f t="shared" si="1"/>
        <v>644.31387096774188</v>
      </c>
      <c r="L26" s="31">
        <f t="shared" si="2"/>
        <v>1288.6277419354838</v>
      </c>
      <c r="M26" s="31">
        <f t="shared" si="3"/>
        <v>3006.7980645161288</v>
      </c>
      <c r="N26" s="31">
        <f t="shared" si="4"/>
        <v>1288.6277419354838</v>
      </c>
      <c r="O26" s="28">
        <f t="shared" si="8"/>
        <v>6443.1387096774188</v>
      </c>
      <c r="P26" s="28"/>
      <c r="Q26" s="28">
        <f t="shared" si="5"/>
        <v>8590.851612903225</v>
      </c>
      <c r="R26" s="105">
        <v>1.5</v>
      </c>
      <c r="S26" s="16">
        <f t="shared" si="9"/>
        <v>9664.7080645161277</v>
      </c>
      <c r="T26" s="111">
        <v>0.25</v>
      </c>
      <c r="U26" s="48">
        <f t="shared" si="10"/>
        <v>1610.7846774193547</v>
      </c>
      <c r="V26" s="117">
        <v>0.25</v>
      </c>
      <c r="W26" s="48">
        <f t="shared" si="11"/>
        <v>1610.7846774193547</v>
      </c>
      <c r="X26" s="47">
        <f t="shared" si="6"/>
        <v>6443.1387096774188</v>
      </c>
      <c r="Y26" s="47">
        <f t="shared" si="12"/>
        <v>19329.416129032252</v>
      </c>
      <c r="Z26" s="54">
        <f t="shared" si="7"/>
        <v>483.23540322580629</v>
      </c>
      <c r="AA26" s="63"/>
    </row>
    <row r="27" spans="2:28" ht="33.65" customHeight="1" x14ac:dyDescent="0.35">
      <c r="B27" s="270"/>
      <c r="C27" s="11" t="s">
        <v>0</v>
      </c>
      <c r="D27" s="203">
        <f>'Policing and Criminal Justice '!E7</f>
        <v>0</v>
      </c>
      <c r="E27" s="82">
        <v>0</v>
      </c>
      <c r="F27" s="82">
        <v>0</v>
      </c>
      <c r="G27" s="82">
        <v>0</v>
      </c>
      <c r="H27" s="82">
        <v>0</v>
      </c>
      <c r="I27" s="82">
        <v>0</v>
      </c>
      <c r="J27" s="30">
        <f t="shared" si="0"/>
        <v>0</v>
      </c>
      <c r="K27" s="31">
        <f t="shared" si="1"/>
        <v>0</v>
      </c>
      <c r="L27" s="31">
        <f t="shared" si="2"/>
        <v>0</v>
      </c>
      <c r="M27" s="31">
        <f t="shared" si="3"/>
        <v>0</v>
      </c>
      <c r="N27" s="31">
        <f t="shared" si="4"/>
        <v>0</v>
      </c>
      <c r="O27" s="28">
        <f t="shared" si="8"/>
        <v>0</v>
      </c>
      <c r="P27" s="28"/>
      <c r="Q27" s="28">
        <f t="shared" si="5"/>
        <v>0</v>
      </c>
      <c r="R27" s="105">
        <v>0.5</v>
      </c>
      <c r="S27" s="16">
        <f t="shared" si="9"/>
        <v>0</v>
      </c>
      <c r="T27" s="111">
        <v>0.25</v>
      </c>
      <c r="U27" s="48">
        <f t="shared" si="10"/>
        <v>0</v>
      </c>
      <c r="V27" s="117">
        <v>0.25</v>
      </c>
      <c r="W27" s="48">
        <f t="shared" si="11"/>
        <v>0</v>
      </c>
      <c r="X27" s="47">
        <f t="shared" si="6"/>
        <v>0</v>
      </c>
      <c r="Y27" s="47">
        <f t="shared" si="12"/>
        <v>0</v>
      </c>
      <c r="Z27" s="54">
        <f t="shared" si="7"/>
        <v>0</v>
      </c>
      <c r="AA27" s="63"/>
    </row>
    <row r="28" spans="2:28" ht="52.5" customHeight="1" thickBot="1" x14ac:dyDescent="0.4">
      <c r="B28" s="270"/>
      <c r="C28" s="11" t="s">
        <v>51</v>
      </c>
      <c r="D28" s="204">
        <f>'Policing and Criminal Justice '!F8</f>
        <v>1221.8341608738829</v>
      </c>
      <c r="E28" s="82">
        <v>0</v>
      </c>
      <c r="F28" s="82">
        <v>0</v>
      </c>
      <c r="G28" s="82">
        <v>0</v>
      </c>
      <c r="H28" s="82">
        <v>0</v>
      </c>
      <c r="I28" s="82">
        <v>0.17</v>
      </c>
      <c r="J28" s="30">
        <f t="shared" si="0"/>
        <v>0</v>
      </c>
      <c r="K28" s="31">
        <f t="shared" si="1"/>
        <v>0</v>
      </c>
      <c r="L28" s="31">
        <f t="shared" si="2"/>
        <v>0</v>
      </c>
      <c r="M28" s="31">
        <f t="shared" si="3"/>
        <v>0</v>
      </c>
      <c r="N28" s="31">
        <f t="shared" si="4"/>
        <v>1246.2708440913607</v>
      </c>
      <c r="O28" s="28">
        <f t="shared" si="8"/>
        <v>1246.2708440913607</v>
      </c>
      <c r="P28" s="28"/>
      <c r="Q28" s="28">
        <f t="shared" si="5"/>
        <v>1661.6944587884809</v>
      </c>
      <c r="R28" s="105">
        <v>1.5</v>
      </c>
      <c r="S28" s="16">
        <f t="shared" si="9"/>
        <v>1869.406266137041</v>
      </c>
      <c r="T28" s="111">
        <v>0.05</v>
      </c>
      <c r="U28" s="48">
        <f t="shared" si="10"/>
        <v>62.313542204568037</v>
      </c>
      <c r="V28" s="117">
        <v>0.05</v>
      </c>
      <c r="W28" s="48">
        <f t="shared" si="11"/>
        <v>62.313542204568037</v>
      </c>
      <c r="X28" s="47">
        <f t="shared" si="6"/>
        <v>1246.2708440913607</v>
      </c>
      <c r="Y28" s="47">
        <f t="shared" si="12"/>
        <v>3240.3041946375379</v>
      </c>
      <c r="Z28" s="54">
        <f t="shared" si="7"/>
        <v>81.007604865938447</v>
      </c>
      <c r="AA28" s="63"/>
    </row>
    <row r="29" spans="2:28" ht="65.150000000000006" customHeight="1" x14ac:dyDescent="0.35">
      <c r="B29" s="271" t="s">
        <v>48</v>
      </c>
      <c r="C29" s="96" t="s">
        <v>20</v>
      </c>
      <c r="D29" s="35">
        <f>Children!G3</f>
        <v>637.04967801287944</v>
      </c>
      <c r="E29" s="89">
        <v>0.17</v>
      </c>
      <c r="F29" s="90">
        <v>0.17</v>
      </c>
      <c r="G29" s="90">
        <v>0.17</v>
      </c>
      <c r="H29" s="90">
        <v>0.17</v>
      </c>
      <c r="I29" s="90">
        <v>0.17</v>
      </c>
      <c r="J29" s="34">
        <f t="shared" ref="J29:N35" si="15">$D29*E29*J$3*J$4</f>
        <v>97.769429750587761</v>
      </c>
      <c r="K29" s="35">
        <f t="shared" si="15"/>
        <v>293.30828925176331</v>
      </c>
      <c r="L29" s="35">
        <f t="shared" si="15"/>
        <v>586.61657850352663</v>
      </c>
      <c r="M29" s="35">
        <f t="shared" si="15"/>
        <v>1368.7720165082287</v>
      </c>
      <c r="N29" s="44">
        <f t="shared" si="15"/>
        <v>586.61657850352663</v>
      </c>
      <c r="O29" s="135">
        <f t="shared" si="8"/>
        <v>2933.0828925176329</v>
      </c>
      <c r="P29" s="84">
        <f>SUM(O29:O35)/O$3 * P$6</f>
        <v>13163.270253564922</v>
      </c>
      <c r="Q29" s="149">
        <f t="shared" si="5"/>
        <v>3910.7771900235102</v>
      </c>
      <c r="R29" s="108">
        <v>0.33</v>
      </c>
      <c r="S29" s="67">
        <f t="shared" si="9"/>
        <v>967.9173545308189</v>
      </c>
      <c r="T29" s="114">
        <v>0.33</v>
      </c>
      <c r="U29" s="46">
        <f t="shared" si="10"/>
        <v>967.9173545308189</v>
      </c>
      <c r="V29" s="120">
        <v>0.05</v>
      </c>
      <c r="W29" s="46">
        <f t="shared" si="11"/>
        <v>146.65414462588166</v>
      </c>
      <c r="X29" s="138">
        <f t="shared" si="6"/>
        <v>2933.0828925176329</v>
      </c>
      <c r="Y29" s="43">
        <f t="shared" si="12"/>
        <v>5015.5717462051525</v>
      </c>
      <c r="Z29" s="53">
        <f t="shared" si="7"/>
        <v>125.38929365512881</v>
      </c>
      <c r="AA29" s="84">
        <f>SUM(Z29:Z35)</f>
        <v>5806.4950102610319</v>
      </c>
    </row>
    <row r="30" spans="2:28" ht="65.150000000000006" customHeight="1" x14ac:dyDescent="0.35">
      <c r="B30" s="272"/>
      <c r="C30" s="137" t="s">
        <v>19</v>
      </c>
      <c r="D30" s="31">
        <f>Children!G4</f>
        <v>1085.9915014164305</v>
      </c>
      <c r="E30" s="86">
        <v>0.5</v>
      </c>
      <c r="F30" s="82">
        <v>0.5</v>
      </c>
      <c r="G30" s="82">
        <v>0.5</v>
      </c>
      <c r="H30" s="82">
        <v>0.5</v>
      </c>
      <c r="I30" s="82">
        <v>0.5</v>
      </c>
      <c r="J30" s="30">
        <f t="shared" si="15"/>
        <v>490.20449716713881</v>
      </c>
      <c r="K30" s="31">
        <f t="shared" si="15"/>
        <v>1470.6134915014163</v>
      </c>
      <c r="L30" s="31">
        <f t="shared" si="15"/>
        <v>2941.2269830028326</v>
      </c>
      <c r="M30" s="31">
        <f t="shared" si="15"/>
        <v>6862.8629603399431</v>
      </c>
      <c r="N30" s="45">
        <f t="shared" si="15"/>
        <v>2941.2269830028326</v>
      </c>
      <c r="O30" s="136">
        <f t="shared" si="8"/>
        <v>14706.134915014163</v>
      </c>
      <c r="P30" s="81"/>
      <c r="Q30" s="28">
        <f t="shared" si="5"/>
        <v>19608.17988668555</v>
      </c>
      <c r="R30" s="105">
        <v>1</v>
      </c>
      <c r="S30" s="16">
        <f t="shared" si="9"/>
        <v>14706.134915014163</v>
      </c>
      <c r="T30" s="111">
        <v>0.1</v>
      </c>
      <c r="U30" s="48">
        <f t="shared" si="10"/>
        <v>1470.6134915014163</v>
      </c>
      <c r="V30" s="117">
        <v>0.05</v>
      </c>
      <c r="W30" s="48">
        <f t="shared" si="11"/>
        <v>735.30674575070816</v>
      </c>
      <c r="X30" s="139">
        <f t="shared" si="6"/>
        <v>14706.134915014161</v>
      </c>
      <c r="Y30" s="47">
        <f t="shared" si="12"/>
        <v>31618.190067280448</v>
      </c>
      <c r="Z30" s="54">
        <f t="shared" si="7"/>
        <v>790.45475168201119</v>
      </c>
      <c r="AA30" s="63"/>
    </row>
    <row r="31" spans="2:28" ht="65.150000000000006" customHeight="1" x14ac:dyDescent="0.35">
      <c r="B31" s="272"/>
      <c r="C31" s="137" t="s">
        <v>57</v>
      </c>
      <c r="D31" s="31">
        <f>Children!G5</f>
        <v>4929.9453000000003</v>
      </c>
      <c r="E31" s="86">
        <v>0.33</v>
      </c>
      <c r="F31" s="82">
        <v>0.33</v>
      </c>
      <c r="G31" s="82">
        <v>0.33</v>
      </c>
      <c r="H31" s="82">
        <v>0.33</v>
      </c>
      <c r="I31" s="82">
        <v>0.33</v>
      </c>
      <c r="J31" s="30">
        <f t="shared" si="15"/>
        <v>1468.7128706250001</v>
      </c>
      <c r="K31" s="31">
        <f t="shared" si="15"/>
        <v>4406.1386118749997</v>
      </c>
      <c r="L31" s="31">
        <f t="shared" si="15"/>
        <v>8812.2772237499994</v>
      </c>
      <c r="M31" s="31">
        <f t="shared" si="15"/>
        <v>20561.98018875</v>
      </c>
      <c r="N31" s="45">
        <f t="shared" si="15"/>
        <v>8812.2772237499994</v>
      </c>
      <c r="O31" s="136">
        <f t="shared" si="8"/>
        <v>44061.386118750001</v>
      </c>
      <c r="P31" s="81"/>
      <c r="Q31" s="28">
        <f t="shared" si="5"/>
        <v>58748.514825000006</v>
      </c>
      <c r="R31" s="105">
        <v>0.33</v>
      </c>
      <c r="S31" s="16">
        <f t="shared" si="9"/>
        <v>14540.257419187501</v>
      </c>
      <c r="T31" s="111">
        <v>0.33</v>
      </c>
      <c r="U31" s="48">
        <f t="shared" si="10"/>
        <v>14540.257419187501</v>
      </c>
      <c r="V31" s="117">
        <v>0.05</v>
      </c>
      <c r="W31" s="48">
        <f t="shared" si="11"/>
        <v>2203.0693059375003</v>
      </c>
      <c r="X31" s="139">
        <f t="shared" si="6"/>
        <v>44061.386118750001</v>
      </c>
      <c r="Y31" s="47">
        <f t="shared" si="12"/>
        <v>75344.970263062511</v>
      </c>
      <c r="Z31" s="54">
        <f t="shared" si="7"/>
        <v>1883.6242565765629</v>
      </c>
      <c r="AA31" s="63"/>
    </row>
    <row r="32" spans="2:28" ht="65.150000000000006" customHeight="1" x14ac:dyDescent="0.35">
      <c r="B32" s="272"/>
      <c r="C32" s="137" t="s">
        <v>17</v>
      </c>
      <c r="D32" s="31">
        <f>Children!G6</f>
        <v>6429.471907459867</v>
      </c>
      <c r="E32" s="86">
        <v>0.17</v>
      </c>
      <c r="F32" s="82">
        <v>0.17</v>
      </c>
      <c r="G32" s="82">
        <v>0.17</v>
      </c>
      <c r="H32" s="82">
        <v>0.17</v>
      </c>
      <c r="I32" s="82">
        <v>0.17</v>
      </c>
      <c r="J32" s="30">
        <f t="shared" si="15"/>
        <v>986.74534135321585</v>
      </c>
      <c r="K32" s="31">
        <f t="shared" si="15"/>
        <v>2960.2360240596477</v>
      </c>
      <c r="L32" s="31">
        <f t="shared" si="15"/>
        <v>5920.4720481192953</v>
      </c>
      <c r="M32" s="31">
        <f t="shared" si="15"/>
        <v>13814.434778945022</v>
      </c>
      <c r="N32" s="45">
        <f t="shared" si="15"/>
        <v>5920.4720481192953</v>
      </c>
      <c r="O32" s="136">
        <f t="shared" si="8"/>
        <v>29602.360240596478</v>
      </c>
      <c r="P32" s="81"/>
      <c r="Q32" s="28">
        <f t="shared" si="5"/>
        <v>39469.813654128637</v>
      </c>
      <c r="R32" s="105">
        <v>0.33</v>
      </c>
      <c r="S32" s="16">
        <f t="shared" si="9"/>
        <v>9768.7788793968375</v>
      </c>
      <c r="T32" s="111">
        <v>0.33</v>
      </c>
      <c r="U32" s="48">
        <f t="shared" si="10"/>
        <v>9768.7788793968375</v>
      </c>
      <c r="V32" s="117">
        <v>0.05</v>
      </c>
      <c r="W32" s="48">
        <f t="shared" si="11"/>
        <v>1480.1180120298241</v>
      </c>
      <c r="X32" s="139">
        <f t="shared" si="6"/>
        <v>29602.360240596478</v>
      </c>
      <c r="Y32" s="47">
        <f t="shared" si="12"/>
        <v>50620.036011419972</v>
      </c>
      <c r="Z32" s="54">
        <f t="shared" si="7"/>
        <v>1265.5009002854993</v>
      </c>
      <c r="AA32" s="63"/>
    </row>
    <row r="33" spans="1:27" ht="65.150000000000006" customHeight="1" x14ac:dyDescent="0.35">
      <c r="B33" s="272"/>
      <c r="C33" s="137" t="s">
        <v>49</v>
      </c>
      <c r="D33" s="31">
        <f>Children!G7</f>
        <v>48495.68333372425</v>
      </c>
      <c r="E33" s="86">
        <v>0</v>
      </c>
      <c r="F33" s="82">
        <v>0</v>
      </c>
      <c r="G33" s="82">
        <v>0</v>
      </c>
      <c r="H33" s="82">
        <v>0</v>
      </c>
      <c r="I33" s="82">
        <v>0</v>
      </c>
      <c r="J33" s="30">
        <f t="shared" si="15"/>
        <v>0</v>
      </c>
      <c r="K33" s="31">
        <f t="shared" si="15"/>
        <v>0</v>
      </c>
      <c r="L33" s="31">
        <f t="shared" si="15"/>
        <v>0</v>
      </c>
      <c r="M33" s="31">
        <f t="shared" si="15"/>
        <v>0</v>
      </c>
      <c r="N33" s="45">
        <f t="shared" si="15"/>
        <v>0</v>
      </c>
      <c r="O33" s="136">
        <f t="shared" si="8"/>
        <v>0</v>
      </c>
      <c r="P33" s="81"/>
      <c r="Q33" s="28">
        <f t="shared" si="5"/>
        <v>0</v>
      </c>
      <c r="R33" s="105">
        <v>0.33</v>
      </c>
      <c r="S33" s="16">
        <f t="shared" si="9"/>
        <v>0</v>
      </c>
      <c r="T33" s="111">
        <v>0.33</v>
      </c>
      <c r="U33" s="48">
        <f t="shared" si="10"/>
        <v>0</v>
      </c>
      <c r="V33" s="117">
        <v>0.05</v>
      </c>
      <c r="W33" s="48">
        <f t="shared" si="11"/>
        <v>0</v>
      </c>
      <c r="X33" s="139">
        <f t="shared" si="6"/>
        <v>0</v>
      </c>
      <c r="Y33" s="47">
        <f t="shared" si="12"/>
        <v>0</v>
      </c>
      <c r="Z33" s="54">
        <f t="shared" si="7"/>
        <v>0</v>
      </c>
      <c r="AA33" s="63"/>
    </row>
    <row r="34" spans="1:27" ht="65.150000000000006" customHeight="1" x14ac:dyDescent="0.35">
      <c r="B34" s="272"/>
      <c r="C34" s="137" t="s">
        <v>50</v>
      </c>
      <c r="D34" s="31">
        <f>Children!G8</f>
        <v>42277.376440428692</v>
      </c>
      <c r="E34" s="86">
        <v>0.02</v>
      </c>
      <c r="F34" s="82">
        <v>0.02</v>
      </c>
      <c r="G34" s="82">
        <v>0.02</v>
      </c>
      <c r="H34" s="82">
        <v>0.02</v>
      </c>
      <c r="I34" s="82">
        <v>0.02</v>
      </c>
      <c r="J34" s="30">
        <f t="shared" si="15"/>
        <v>763.34151906329578</v>
      </c>
      <c r="K34" s="31">
        <f t="shared" si="15"/>
        <v>2290.0245571898877</v>
      </c>
      <c r="L34" s="31">
        <f t="shared" si="15"/>
        <v>4580.0491143797753</v>
      </c>
      <c r="M34" s="31">
        <f t="shared" si="15"/>
        <v>10686.781266886142</v>
      </c>
      <c r="N34" s="45">
        <f t="shared" si="15"/>
        <v>4580.0491143797753</v>
      </c>
      <c r="O34" s="136">
        <f t="shared" si="8"/>
        <v>22900.245571898879</v>
      </c>
      <c r="P34" s="81"/>
      <c r="Q34" s="28">
        <f t="shared" si="5"/>
        <v>30533.660762531839</v>
      </c>
      <c r="R34" s="105">
        <v>0.33</v>
      </c>
      <c r="S34" s="16">
        <f t="shared" si="9"/>
        <v>7557.0810387266301</v>
      </c>
      <c r="T34" s="111">
        <v>0.33</v>
      </c>
      <c r="U34" s="48">
        <f t="shared" si="10"/>
        <v>7557.0810387266301</v>
      </c>
      <c r="V34" s="117">
        <v>0.05</v>
      </c>
      <c r="W34" s="48">
        <f t="shared" si="11"/>
        <v>1145.0122785949441</v>
      </c>
      <c r="X34" s="139">
        <f t="shared" si="6"/>
        <v>22900.245571898879</v>
      </c>
      <c r="Y34" s="47">
        <f t="shared" si="12"/>
        <v>39159.419927947085</v>
      </c>
      <c r="Z34" s="54">
        <f t="shared" si="7"/>
        <v>978.98549819867708</v>
      </c>
      <c r="AA34" s="63"/>
    </row>
    <row r="35" spans="1:27" ht="65.150000000000006" customHeight="1" x14ac:dyDescent="0.35">
      <c r="B35" s="272"/>
      <c r="C35" s="137" t="s">
        <v>77</v>
      </c>
      <c r="D35" s="31">
        <f>Children!G10</f>
        <v>4826.6288951841352</v>
      </c>
      <c r="E35" s="86">
        <v>0</v>
      </c>
      <c r="F35" s="82">
        <v>0.3333333</v>
      </c>
      <c r="G35" s="82">
        <v>0.17</v>
      </c>
      <c r="H35" s="82">
        <v>0</v>
      </c>
      <c r="I35" s="82">
        <v>0.33</v>
      </c>
      <c r="J35" s="30">
        <f t="shared" si="15"/>
        <v>0</v>
      </c>
      <c r="K35" s="31">
        <f t="shared" si="15"/>
        <v>4357.3728724150142</v>
      </c>
      <c r="L35" s="31">
        <f t="shared" si="15"/>
        <v>4444.5207743153915</v>
      </c>
      <c r="M35" s="31">
        <f t="shared" si="15"/>
        <v>0</v>
      </c>
      <c r="N35" s="45">
        <f t="shared" si="15"/>
        <v>8627.5991501416429</v>
      </c>
      <c r="O35" s="136">
        <f t="shared" ref="O35" si="16">SUM(J35:N35)</f>
        <v>17429.492796872048</v>
      </c>
      <c r="P35" s="81"/>
      <c r="Q35" s="28">
        <f t="shared" si="5"/>
        <v>23239.32372916273</v>
      </c>
      <c r="R35" s="105">
        <v>0.75</v>
      </c>
      <c r="S35" s="16">
        <f t="shared" ref="S35" si="17">O35*R35</f>
        <v>13072.119597654037</v>
      </c>
      <c r="T35" s="111">
        <v>0</v>
      </c>
      <c r="U35" s="239">
        <f t="shared" ref="U35" si="18">$O35*T35</f>
        <v>0</v>
      </c>
      <c r="V35" s="240">
        <v>0</v>
      </c>
      <c r="W35" s="239">
        <f t="shared" ref="W35" si="19">$O35*V35</f>
        <v>0</v>
      </c>
      <c r="X35" s="139">
        <f t="shared" si="6"/>
        <v>17429.492796872048</v>
      </c>
      <c r="Y35" s="47">
        <f t="shared" si="12"/>
        <v>30501.612394526084</v>
      </c>
      <c r="Z35" s="54">
        <f t="shared" si="7"/>
        <v>762.54030986315206</v>
      </c>
      <c r="AA35" s="63"/>
    </row>
    <row r="36" spans="1:27" x14ac:dyDescent="0.35">
      <c r="P36" s="7">
        <f>SUM(O8:O35)</f>
        <v>569096.02807647898</v>
      </c>
      <c r="Q36" s="7">
        <f>SUM(P7:P35)</f>
        <v>56909.602807647898</v>
      </c>
      <c r="R36" s="7">
        <f>SUM(Q8:Q35)</f>
        <v>758794.70410197205</v>
      </c>
      <c r="S36" s="7"/>
      <c r="T36" s="16">
        <f>SUM(S8:S35)</f>
        <v>310642.37770357996</v>
      </c>
      <c r="V36" s="16">
        <f>SUM(U8:U35)</f>
        <v>157922.17213836475</v>
      </c>
      <c r="X36" s="58">
        <f t="shared" ref="X36:Y36" si="20">SUM(W8:W35)</f>
        <v>112393.4458190367</v>
      </c>
      <c r="Y36" s="58">
        <f t="shared" si="20"/>
        <v>569096.02807647898</v>
      </c>
      <c r="Z36" s="16"/>
      <c r="AA36" s="58"/>
    </row>
    <row r="37" spans="1:27" x14ac:dyDescent="0.35">
      <c r="P37" s="17"/>
      <c r="Q37" s="17"/>
      <c r="R37" s="235">
        <f>Q36/3</f>
        <v>18969.8676025493</v>
      </c>
      <c r="V37" s="16"/>
      <c r="AA37" s="58"/>
    </row>
    <row r="38" spans="1:27" x14ac:dyDescent="0.35">
      <c r="R38" s="236">
        <f>R36/(O3+X5)</f>
        <v>18969.8676025493</v>
      </c>
    </row>
    <row r="43" spans="1:27" s="1" customFormat="1" x14ac:dyDescent="0.35">
      <c r="A43"/>
      <c r="B43"/>
      <c r="C43" s="5"/>
      <c r="D43" s="5"/>
    </row>
  </sheetData>
  <sheetProtection algorithmName="SHA-512" hashValue="ZKhqzBrl+g8J1TllEaIFZAF8nX9ulQpZIF5m+N/n3mJAcEF1bXp+3f9EMI7bO6O3oTrvApSVqEjPDGoVHO8gpA==" saltValue="GM/20nKwb5zBnrFuzo1sbQ==" spinCount="100000" sheet="1" objects="1" scenarios="1"/>
  <mergeCells count="11">
    <mergeCell ref="V1:W1"/>
    <mergeCell ref="E1:I1"/>
    <mergeCell ref="B3:B6"/>
    <mergeCell ref="B8:B15"/>
    <mergeCell ref="B16:B19"/>
    <mergeCell ref="B23:B28"/>
    <mergeCell ref="B29:B35"/>
    <mergeCell ref="J1:N1"/>
    <mergeCell ref="R1:S1"/>
    <mergeCell ref="T1:U1"/>
    <mergeCell ref="B21:B22"/>
  </mergeCells>
  <pageMargins left="0.7" right="0.7" top="0.75" bottom="0.75" header="0.3" footer="0.3"/>
  <pageSetup paperSize="9" scale="1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2946-DAC1-40AA-968C-127B8B7DC3DB}">
  <sheetPr codeName="Sheet9">
    <tabColor theme="0" tint="-0.34998626667073579"/>
    <pageSetUpPr fitToPage="1"/>
  </sheetPr>
  <dimension ref="A1:O16"/>
  <sheetViews>
    <sheetView zoomScale="80" zoomScaleNormal="100" workbookViewId="0">
      <pane xSplit="1" ySplit="3" topLeftCell="B4" activePane="bottomRight" state="frozen"/>
      <selection pane="topRight" activeCell="B1" sqref="B1"/>
      <selection pane="bottomLeft" activeCell="A4" sqref="A4"/>
      <selection pane="bottomRight" activeCell="B12" sqref="B12"/>
    </sheetView>
  </sheetViews>
  <sheetFormatPr defaultColWidth="0" defaultRowHeight="18.5" zeroHeight="1" x14ac:dyDescent="0.45"/>
  <cols>
    <col min="1" max="1" width="32.1796875" style="186" customWidth="1"/>
    <col min="2" max="2" width="99.54296875" style="2" customWidth="1"/>
    <col min="3" max="11" width="12.54296875" style="126" customWidth="1"/>
    <col min="12" max="15" width="0" style="2" hidden="1" customWidth="1"/>
    <col min="16" max="16384" width="8.7265625" style="2" hidden="1"/>
  </cols>
  <sheetData>
    <row r="1" spans="1:11" s="187" customFormat="1" ht="74" x14ac:dyDescent="0.45">
      <c r="A1" s="145"/>
      <c r="B1" s="156" t="s">
        <v>158</v>
      </c>
      <c r="C1" s="156" t="s">
        <v>88</v>
      </c>
      <c r="D1" s="156" t="s">
        <v>168</v>
      </c>
      <c r="E1" s="156" t="s">
        <v>110</v>
      </c>
      <c r="F1" s="156" t="s">
        <v>112</v>
      </c>
      <c r="G1" s="156" t="s">
        <v>114</v>
      </c>
      <c r="H1" s="156" t="s">
        <v>115</v>
      </c>
      <c r="I1" s="156" t="s">
        <v>176</v>
      </c>
      <c r="J1" s="156" t="s">
        <v>115</v>
      </c>
      <c r="K1" s="156" t="s">
        <v>145</v>
      </c>
    </row>
    <row r="2" spans="1:11" s="134" customFormat="1" ht="30" x14ac:dyDescent="0.45">
      <c r="A2" s="188"/>
      <c r="C2" s="288" t="s">
        <v>116</v>
      </c>
      <c r="D2" s="289"/>
      <c r="E2" s="289"/>
      <c r="F2" s="289"/>
      <c r="G2" s="289"/>
      <c r="H2" s="289"/>
      <c r="I2" s="290"/>
      <c r="J2" s="190" t="s">
        <v>117</v>
      </c>
    </row>
    <row r="3" spans="1:11" s="134" customFormat="1" x14ac:dyDescent="0.45">
      <c r="A3" s="161" t="s">
        <v>107</v>
      </c>
      <c r="B3" s="162"/>
      <c r="C3" s="191">
        <f>Inflation!G20</f>
        <v>1.185744773322027</v>
      </c>
      <c r="D3" s="191">
        <f>Inflation!H20</f>
        <v>1.1532384413749901</v>
      </c>
      <c r="E3" s="191">
        <f>Inflation!I20</f>
        <v>1.106603062393402</v>
      </c>
      <c r="F3" s="191">
        <f>Inflation!J20</f>
        <v>1.0755179061119999</v>
      </c>
      <c r="G3" s="191">
        <f>Inflation!K20</f>
        <v>1.0525718399999999</v>
      </c>
      <c r="H3" s="191">
        <f>Inflation!E20</f>
        <v>1.0271999999999999</v>
      </c>
      <c r="I3" s="191">
        <v>1</v>
      </c>
      <c r="J3" s="191">
        <f>Inflation!G39</f>
        <v>1.0905017921146953</v>
      </c>
      <c r="K3" s="162"/>
    </row>
    <row r="4" spans="1:11" ht="159" customHeight="1" x14ac:dyDescent="0.45">
      <c r="A4" s="157" t="s">
        <v>161</v>
      </c>
      <c r="B4" s="2" t="s">
        <v>162</v>
      </c>
      <c r="C4" s="126">
        <f>131/2</f>
        <v>65.5</v>
      </c>
      <c r="I4" s="126">
        <f>(86/2)+(304/2)</f>
        <v>195</v>
      </c>
      <c r="K4" s="133">
        <f t="shared" ref="K4:K9" si="0">SUMPRODUCT($C$3:$J$3,C4:J4)</f>
        <v>272.66628265259277</v>
      </c>
    </row>
    <row r="5" spans="1:11" ht="195" customHeight="1" x14ac:dyDescent="0.45">
      <c r="A5" s="157" t="s">
        <v>160</v>
      </c>
      <c r="B5" s="2" t="s">
        <v>159</v>
      </c>
      <c r="E5" s="126">
        <f>2510+1070*0.5</f>
        <v>3045</v>
      </c>
      <c r="H5" s="126">
        <v>367</v>
      </c>
      <c r="J5" s="133">
        <f>(985*0.5)+304+(247*0.25)</f>
        <v>858.25</v>
      </c>
      <c r="K5" s="133">
        <f t="shared" si="0"/>
        <v>4682.5118880703458</v>
      </c>
    </row>
    <row r="6" spans="1:11" ht="117" x14ac:dyDescent="0.45">
      <c r="A6" s="157" t="s">
        <v>31</v>
      </c>
      <c r="B6" s="2" t="s">
        <v>163</v>
      </c>
      <c r="F6" s="126">
        <f>(2500*0.5)+((26*1.2))*5</f>
        <v>1406</v>
      </c>
      <c r="K6" s="133">
        <f t="shared" si="0"/>
        <v>1512.178175993472</v>
      </c>
    </row>
    <row r="7" spans="1:11" ht="131.5" x14ac:dyDescent="0.45">
      <c r="A7" s="157" t="s">
        <v>14</v>
      </c>
      <c r="B7" s="126" t="s">
        <v>164</v>
      </c>
      <c r="E7" s="126">
        <v>2510</v>
      </c>
      <c r="G7" s="126">
        <v>367</v>
      </c>
      <c r="H7" s="126">
        <f>304+985+(247/2)</f>
        <v>1412.5</v>
      </c>
      <c r="K7" s="133">
        <f t="shared" si="0"/>
        <v>4614.7875518874389</v>
      </c>
    </row>
    <row r="8" spans="1:11" ht="37" x14ac:dyDescent="0.45">
      <c r="A8" s="157" t="s">
        <v>13</v>
      </c>
      <c r="B8" s="2" t="s">
        <v>166</v>
      </c>
      <c r="H8" s="126">
        <v>3776</v>
      </c>
      <c r="K8" s="133">
        <f t="shared" si="0"/>
        <v>3878.7071999999994</v>
      </c>
    </row>
    <row r="9" spans="1:11" ht="309" customHeight="1" x14ac:dyDescent="0.45">
      <c r="A9" s="157" t="s">
        <v>25</v>
      </c>
      <c r="B9" s="2" t="s">
        <v>175</v>
      </c>
      <c r="F9" s="126">
        <f>(16205*0.02)+(222*4.5)</f>
        <v>1323.1</v>
      </c>
      <c r="H9" s="126">
        <f>(26*1.2)*4.5</f>
        <v>140.4</v>
      </c>
      <c r="K9" s="133">
        <f t="shared" si="0"/>
        <v>1567.236621576787</v>
      </c>
    </row>
    <row r="10" spans="1:11" ht="81.650000000000006" customHeight="1" x14ac:dyDescent="0.45">
      <c r="A10" s="157" t="s">
        <v>12</v>
      </c>
      <c r="B10" s="2" t="s">
        <v>165</v>
      </c>
      <c r="I10" s="126">
        <f>800</f>
        <v>800</v>
      </c>
      <c r="K10" s="133">
        <f t="shared" ref="K10:K16" si="1">SUMPRODUCT($C$3:$J$3,C10:J10)</f>
        <v>800</v>
      </c>
    </row>
    <row r="11" spans="1:11" ht="160.5" x14ac:dyDescent="0.45">
      <c r="A11" s="157" t="s">
        <v>174</v>
      </c>
      <c r="B11" s="128" t="s">
        <v>173</v>
      </c>
      <c r="C11" s="192"/>
      <c r="D11" s="192"/>
      <c r="E11" s="192"/>
      <c r="F11" s="192"/>
      <c r="G11" s="192"/>
      <c r="H11" s="126">
        <f>(2.4*33)+((41+(26*1.2)/4)*2.4)</f>
        <v>196.32</v>
      </c>
      <c r="I11" s="192"/>
      <c r="J11" s="192"/>
      <c r="K11" s="133">
        <f t="shared" si="1"/>
        <v>201.65990399999998</v>
      </c>
    </row>
    <row r="12" spans="1:11" ht="218.5" x14ac:dyDescent="0.45">
      <c r="A12" s="157" t="s">
        <v>11</v>
      </c>
      <c r="B12" s="2" t="s">
        <v>172</v>
      </c>
      <c r="H12" s="126">
        <f>((26*1.2)*(0.5*3)+(41*(0.5*3)+((140+(26*1.2))*15)+(5*33)+(5*((26*1.2)/4))+(5*(41/4))))</f>
        <v>2931.55</v>
      </c>
      <c r="K12" s="133">
        <f t="shared" si="1"/>
        <v>3011.2881600000001</v>
      </c>
    </row>
    <row r="13" spans="1:11" ht="49" customHeight="1" x14ac:dyDescent="0.45">
      <c r="A13" s="157" t="s">
        <v>10</v>
      </c>
      <c r="B13" s="2" t="s">
        <v>171</v>
      </c>
      <c r="H13" s="126">
        <f>((26*1.2)*(0.5*3)+(41*(0.5*3)+((140+(26*1.2))*15)+(5*33)+(5*((26*1.2)/4))+(5*(41/4))))</f>
        <v>2931.55</v>
      </c>
      <c r="K13" s="133">
        <f t="shared" si="1"/>
        <v>3011.2881600000001</v>
      </c>
    </row>
    <row r="14" spans="1:11" ht="133" customHeight="1" x14ac:dyDescent="0.45">
      <c r="A14" s="157" t="s">
        <v>9</v>
      </c>
      <c r="B14" s="2" t="s">
        <v>170</v>
      </c>
      <c r="H14" s="126">
        <f>294+(241*2)</f>
        <v>776</v>
      </c>
      <c r="I14" s="126">
        <f>3*(26*1.2)</f>
        <v>93.6</v>
      </c>
      <c r="K14" s="133">
        <f t="shared" si="1"/>
        <v>890.70719999999994</v>
      </c>
    </row>
    <row r="15" spans="1:11" ht="88" x14ac:dyDescent="0.45">
      <c r="A15" s="189" t="s">
        <v>26</v>
      </c>
      <c r="B15" s="2" t="s">
        <v>169</v>
      </c>
      <c r="D15" s="126">
        <v>4989</v>
      </c>
      <c r="I15" s="126">
        <f>10*(26*1.2)</f>
        <v>312</v>
      </c>
      <c r="K15" s="133">
        <f t="shared" si="1"/>
        <v>6065.5065840198258</v>
      </c>
    </row>
    <row r="16" spans="1:11" ht="59" x14ac:dyDescent="0.45">
      <c r="A16" s="189" t="s">
        <v>8</v>
      </c>
      <c r="B16" s="12" t="s">
        <v>167</v>
      </c>
      <c r="C16" s="193"/>
      <c r="D16" s="193">
        <v>809</v>
      </c>
      <c r="E16" s="193"/>
      <c r="F16" s="193"/>
      <c r="G16" s="193"/>
      <c r="H16" s="193"/>
      <c r="I16" s="193"/>
      <c r="J16" s="193"/>
      <c r="K16" s="133">
        <f t="shared" si="1"/>
        <v>932.96989907236696</v>
      </c>
    </row>
  </sheetData>
  <sheetProtection algorithmName="SHA-512" hashValue="H90NESPwbbMaGIP5V7W+KwlU6uR2AhavkmcbJ2pkCHOxKMZnJrMK+yvErE3F5/UPVp4Lwe7Gp9v2dQdTRhpLtw==" saltValue="hgMcqhvv+NefkcoiafNv4g==" spinCount="100000" sheet="1" objects="1" scenarios="1"/>
  <mergeCells count="1">
    <mergeCell ref="C2:I2"/>
  </mergeCells>
  <pageMargins left="0.7" right="0.7" top="0.75" bottom="0.75" header="0.3" footer="0.3"/>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6658-6278-4F71-8A1F-2E29A4971BBA}">
  <sheetPr codeName="Sheet10">
    <tabColor theme="0" tint="-0.34998626667073579"/>
  </sheetPr>
  <dimension ref="A1:J3"/>
  <sheetViews>
    <sheetView zoomScaleNormal="100" workbookViewId="0">
      <pane xSplit="1" ySplit="1" topLeftCell="B2" activePane="bottomRight" state="frozen"/>
      <selection pane="topRight" activeCell="B1" sqref="B1"/>
      <selection pane="bottomLeft" activeCell="A2" sqref="A2"/>
      <selection pane="bottomRight" activeCell="B3" sqref="B3"/>
    </sheetView>
  </sheetViews>
  <sheetFormatPr defaultColWidth="0" defaultRowHeight="18.5" zeroHeight="1" x14ac:dyDescent="0.45"/>
  <cols>
    <col min="1" max="1" width="37" style="166" customWidth="1"/>
    <col min="2" max="2" width="76.1796875" customWidth="1"/>
    <col min="3" max="3" width="18.26953125" style="1" customWidth="1"/>
    <col min="4" max="4" width="24.81640625" style="1" customWidth="1"/>
    <col min="5" max="10" width="35.81640625" hidden="1" customWidth="1"/>
    <col min="11" max="16384" width="8.7265625" hidden="1"/>
  </cols>
  <sheetData>
    <row r="1" spans="1:9" s="164" customFormat="1" ht="55.5" x14ac:dyDescent="0.45">
      <c r="B1" s="170" t="s">
        <v>136</v>
      </c>
      <c r="C1" s="170" t="s">
        <v>83</v>
      </c>
      <c r="D1" s="171" t="s">
        <v>145</v>
      </c>
      <c r="E1" s="170" t="s">
        <v>42</v>
      </c>
      <c r="F1" s="172" t="s">
        <v>28</v>
      </c>
      <c r="G1" s="173" t="s">
        <v>29</v>
      </c>
      <c r="H1" s="170" t="s">
        <v>43</v>
      </c>
      <c r="I1" s="173" t="s">
        <v>30</v>
      </c>
    </row>
    <row r="2" spans="1:9" s="143" customFormat="1" x14ac:dyDescent="0.45">
      <c r="A2" s="174" t="s">
        <v>107</v>
      </c>
      <c r="B2" s="175"/>
      <c r="C2" s="176">
        <f>Inflation!F20</f>
        <v>1.2106454135617895</v>
      </c>
      <c r="D2" s="177"/>
      <c r="E2" s="175"/>
      <c r="F2" s="178"/>
      <c r="G2" s="179"/>
      <c r="H2" s="175"/>
      <c r="I2" s="179"/>
    </row>
    <row r="3" spans="1:9" ht="88.5" thickBot="1" x14ac:dyDescent="0.5">
      <c r="A3" s="169" t="s">
        <v>6</v>
      </c>
      <c r="B3" s="129" t="s">
        <v>193</v>
      </c>
      <c r="C3" s="180">
        <v>476</v>
      </c>
      <c r="D3" s="181">
        <f>SUMPRODUCT(C3,C2)</f>
        <v>576.26721685541179</v>
      </c>
      <c r="E3" s="130"/>
      <c r="F3" s="131"/>
      <c r="G3" s="132"/>
      <c r="H3" s="130"/>
      <c r="I3" s="132"/>
    </row>
  </sheetData>
  <sheetProtection algorithmName="SHA-512" hashValue="8KCqnhAotJ4MZL8ZJu7Jj3Yp/2IDcKCHlBFy5releN8P72I7DLlXz6Lqx3W77Ao4HWr3la6UDsVy0YIv1ZbPAg==" saltValue="gwfpCP+d2SHhrzkd+TiHU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D0AF-7317-48B0-A1BA-921D6D7F77F7}">
  <sheetPr codeName="Sheet11">
    <tabColor theme="0" tint="-0.34998626667073579"/>
    <pageSetUpPr fitToPage="1"/>
  </sheetPr>
  <dimension ref="A1:H4"/>
  <sheetViews>
    <sheetView zoomScaleNormal="100" workbookViewId="0">
      <pane ySplit="1" topLeftCell="A2" activePane="bottomLeft" state="frozen"/>
      <selection pane="bottomLeft" activeCell="B4" sqref="B4"/>
    </sheetView>
  </sheetViews>
  <sheetFormatPr defaultColWidth="0" defaultRowHeight="18.5" zeroHeight="1" x14ac:dyDescent="0.45"/>
  <cols>
    <col min="1" max="1" width="30.54296875" style="167" customWidth="1"/>
    <col min="2" max="2" width="73.1796875" style="1" customWidth="1"/>
    <col min="3" max="3" width="21.54296875" style="1" customWidth="1"/>
    <col min="4" max="5" width="16.26953125" style="1" customWidth="1"/>
    <col min="6" max="6" width="17.54296875" style="1" customWidth="1"/>
    <col min="7" max="8" width="0" style="1" hidden="1" customWidth="1"/>
    <col min="9" max="16384" width="8.7265625" style="1" hidden="1"/>
  </cols>
  <sheetData>
    <row r="1" spans="1:6" s="183" customFormat="1" ht="37" x14ac:dyDescent="0.45">
      <c r="A1" s="182"/>
      <c r="B1" s="163" t="s">
        <v>136</v>
      </c>
      <c r="C1" s="163" t="s">
        <v>83</v>
      </c>
      <c r="D1" s="163" t="s">
        <v>177</v>
      </c>
      <c r="E1" s="163" t="s">
        <v>176</v>
      </c>
      <c r="F1" s="163" t="s">
        <v>41</v>
      </c>
    </row>
    <row r="2" spans="1:6" s="144" customFormat="1" x14ac:dyDescent="0.45">
      <c r="A2" s="174" t="s">
        <v>134</v>
      </c>
      <c r="B2" s="184"/>
      <c r="C2" s="168">
        <f>Inflation!C39/Inflation!C27</f>
        <v>1.361297539149888</v>
      </c>
      <c r="D2" s="168">
        <f>Inflation!C39/Inflation!C32</f>
        <v>1.2170000000000001</v>
      </c>
      <c r="E2" s="185">
        <v>1</v>
      </c>
    </row>
    <row r="3" spans="1:6" ht="175.5" customHeight="1" x14ac:dyDescent="0.45">
      <c r="A3" s="165" t="s">
        <v>27</v>
      </c>
      <c r="B3" s="2" t="s">
        <v>156</v>
      </c>
      <c r="C3" s="133"/>
      <c r="D3" s="126">
        <f>(3*142)+70</f>
        <v>496</v>
      </c>
      <c r="E3" s="126">
        <f>15*70</f>
        <v>1050</v>
      </c>
      <c r="F3" s="126">
        <f>SUMPRODUCT(C3:E3,$C$2:$E$2)</f>
        <v>1653.6320000000001</v>
      </c>
    </row>
    <row r="4" spans="1:6" ht="57.65" customHeight="1" x14ac:dyDescent="0.45">
      <c r="A4" s="165" t="s">
        <v>5</v>
      </c>
      <c r="B4" s="2" t="s">
        <v>157</v>
      </c>
      <c r="C4" s="133">
        <v>558</v>
      </c>
      <c r="D4" s="126">
        <v>0</v>
      </c>
      <c r="E4" s="126"/>
      <c r="F4" s="126">
        <f>SUMPRODUCT(C4:E4,$C$2:$E$2)</f>
        <v>759.60402684563758</v>
      </c>
    </row>
  </sheetData>
  <sheetProtection algorithmName="SHA-512" hashValue="pWmS9mn02XBGZpBWvH9PoRw3TLgfR6hz8VOJwJxrlnhy9L39jy/pZpGz+il52416JL04OF6ERUUTxnn0qNaTbQ==" saltValue="L6SwJe74YdDFWDVP0/s9LA==" spinCount="100000" sheet="1" objects="1" scenarios="1"/>
  <pageMargins left="0.7" right="0.7" top="0.75" bottom="0.75" header="0.3" footer="0.3"/>
  <pageSetup paperSize="9" scale="50"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45A3-ABF4-45A1-98A4-6AEB5830B26E}">
  <sheetPr codeName="Sheet12">
    <tabColor theme="0" tint="-0.34998626667073579"/>
  </sheetPr>
  <dimension ref="A1:F9"/>
  <sheetViews>
    <sheetView zoomScale="96" zoomScaleNormal="96" workbookViewId="0">
      <pane ySplit="1" topLeftCell="A6" activePane="bottomLeft" state="frozen"/>
      <selection pane="bottomLeft" activeCell="F8" sqref="F8"/>
    </sheetView>
  </sheetViews>
  <sheetFormatPr defaultColWidth="0" defaultRowHeight="18.5" zeroHeight="1" x14ac:dyDescent="0.45"/>
  <cols>
    <col min="1" max="1" width="41.453125" style="150" customWidth="1"/>
    <col min="2" max="2" width="70" style="1" customWidth="1"/>
    <col min="3" max="4" width="21" style="1" customWidth="1"/>
    <col min="5" max="5" width="14.26953125" style="1" customWidth="1"/>
    <col min="6" max="6" width="14.1796875" style="1" customWidth="1"/>
    <col min="7" max="16384" width="8.7265625" style="1" hidden="1"/>
  </cols>
  <sheetData>
    <row r="1" spans="1:6" s="155" customFormat="1" ht="74" x14ac:dyDescent="0.45">
      <c r="A1" s="153"/>
      <c r="B1" s="154" t="s">
        <v>136</v>
      </c>
      <c r="C1" s="154" t="s">
        <v>81</v>
      </c>
      <c r="D1" s="154" t="s">
        <v>114</v>
      </c>
      <c r="E1" s="154" t="s">
        <v>176</v>
      </c>
      <c r="F1" s="154" t="s">
        <v>145</v>
      </c>
    </row>
    <row r="2" spans="1:6" s="144" customFormat="1" x14ac:dyDescent="0.45">
      <c r="A2" s="158" t="s">
        <v>107</v>
      </c>
      <c r="B2" s="159"/>
      <c r="C2" s="194">
        <f>Inflation!C39/Inflation!C33</f>
        <v>1.208540218470705</v>
      </c>
      <c r="D2" s="194">
        <f>Inflation!C39/Inflation!C38</f>
        <v>1.0905017921146953</v>
      </c>
      <c r="E2" s="195">
        <v>1</v>
      </c>
      <c r="F2" s="160"/>
    </row>
    <row r="3" spans="1:6" ht="81.650000000000006" customHeight="1" x14ac:dyDescent="0.45">
      <c r="A3" s="151" t="s">
        <v>4</v>
      </c>
      <c r="B3" s="4" t="s">
        <v>146</v>
      </c>
      <c r="C3" s="2"/>
      <c r="D3" s="2"/>
      <c r="E3" s="126">
        <v>460</v>
      </c>
      <c r="F3" s="126">
        <f>SUMPRODUCT(C3:E3,$C$2:$E$2)</f>
        <v>460</v>
      </c>
    </row>
    <row r="4" spans="1:6" ht="133" customHeight="1" x14ac:dyDescent="0.45">
      <c r="A4" s="151" t="s">
        <v>3</v>
      </c>
      <c r="B4" s="4" t="s">
        <v>147</v>
      </c>
      <c r="C4" s="3"/>
      <c r="D4" s="3"/>
      <c r="E4" s="126">
        <v>580</v>
      </c>
      <c r="F4" s="126">
        <f t="shared" ref="F4:F6" si="0">SUMPRODUCT(C4:E4,$C$2:$E$2)</f>
        <v>580</v>
      </c>
    </row>
    <row r="5" spans="1:6" ht="88" x14ac:dyDescent="0.45">
      <c r="A5" s="151" t="s">
        <v>2</v>
      </c>
      <c r="B5" s="2" t="s">
        <v>150</v>
      </c>
      <c r="C5" s="133"/>
      <c r="D5" s="133"/>
      <c r="E5" s="133">
        <v>526</v>
      </c>
      <c r="F5" s="126">
        <f t="shared" si="0"/>
        <v>526</v>
      </c>
    </row>
    <row r="6" spans="1:6" ht="88" x14ac:dyDescent="0.45">
      <c r="A6" s="151" t="s">
        <v>133</v>
      </c>
      <c r="B6" s="2" t="s">
        <v>148</v>
      </c>
      <c r="C6" s="133"/>
      <c r="D6" s="133">
        <v>564</v>
      </c>
      <c r="E6" s="133">
        <f>7070-526</f>
        <v>6544</v>
      </c>
      <c r="F6" s="126">
        <f t="shared" si="0"/>
        <v>7159.0430107526881</v>
      </c>
    </row>
    <row r="7" spans="1:6" ht="102.5" x14ac:dyDescent="0.45">
      <c r="A7" s="152" t="s">
        <v>0</v>
      </c>
      <c r="B7" s="4" t="s">
        <v>149</v>
      </c>
      <c r="C7" s="133">
        <f>11960+5480</f>
        <v>17440</v>
      </c>
      <c r="D7" s="133"/>
      <c r="E7" s="133"/>
      <c r="F7" s="126">
        <f>SUMPRODUCT(C7:E7,$C$2:$E$2)</f>
        <v>21076.941410129097</v>
      </c>
    </row>
    <row r="8" spans="1:6" ht="44.5" x14ac:dyDescent="0.45">
      <c r="A8" s="248" t="s">
        <v>132</v>
      </c>
      <c r="B8" s="4" t="s">
        <v>192</v>
      </c>
      <c r="C8" s="133">
        <v>1011</v>
      </c>
      <c r="D8" s="133"/>
      <c r="E8" s="133"/>
      <c r="F8" s="133">
        <f>SUMPRODUCT(C8:E8,$C$2:$E$2)</f>
        <v>1221.8341608738829</v>
      </c>
    </row>
    <row r="9" spans="1:6" hidden="1" x14ac:dyDescent="0.45">
      <c r="B9" s="10"/>
      <c r="C9" s="7"/>
      <c r="D9" s="7"/>
      <c r="E9" s="7"/>
      <c r="F9" s="7"/>
    </row>
  </sheetData>
  <sheetProtection algorithmName="SHA-512" hashValue="XWqrqd0H2WAw9LTLlKAF/dI7ftqKkZrThvCSSio37EmgiiekmN01wh8URVCLO0NPMc5RVeNUWiFtBo+zgGsocA==" saltValue="r4L59yuTMU+M8JI/SlR1AQ=="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A17D-3052-4DA9-8EBA-5D3F321503EB}">
  <sheetPr codeName="Sheet26">
    <tabColor theme="0" tint="-0.34998626667073579"/>
    <pageSetUpPr fitToPage="1"/>
  </sheetPr>
  <dimension ref="A1:XFB11"/>
  <sheetViews>
    <sheetView zoomScale="70" zoomScaleNormal="70" zoomScaleSheetLayoutView="90" workbookViewId="0">
      <pane ySplit="1" topLeftCell="A7" activePane="bottomLeft" state="frozen"/>
      <selection pane="bottomLeft" activeCell="A11" sqref="A11:XFD11"/>
    </sheetView>
  </sheetViews>
  <sheetFormatPr defaultColWidth="0" defaultRowHeight="18.5" zeroHeight="1" x14ac:dyDescent="0.45"/>
  <cols>
    <col min="1" max="1" width="41.26953125" style="150" customWidth="1"/>
    <col min="2" max="2" width="61.453125" style="1" customWidth="1"/>
    <col min="3" max="6" width="18.26953125" style="1" customWidth="1"/>
    <col min="7" max="7" width="19.7265625" style="1" customWidth="1"/>
    <col min="8" max="8" width="8.7265625" style="1" hidden="1" customWidth="1"/>
    <col min="9" max="16382" width="8.7265625" style="1" hidden="1"/>
    <col min="16383" max="16384" width="48.1796875" style="1" hidden="1" customWidth="1"/>
  </cols>
  <sheetData>
    <row r="1" spans="1:8" s="155" customFormat="1" ht="37" x14ac:dyDescent="0.45">
      <c r="A1" s="156"/>
      <c r="B1" s="156" t="s">
        <v>136</v>
      </c>
      <c r="C1" s="156" t="s">
        <v>140</v>
      </c>
      <c r="D1" s="156" t="s">
        <v>139</v>
      </c>
      <c r="E1" s="156" t="s">
        <v>137</v>
      </c>
      <c r="F1" s="156" t="s">
        <v>138</v>
      </c>
      <c r="G1" s="156" t="s">
        <v>135</v>
      </c>
    </row>
    <row r="2" spans="1:8" s="144" customFormat="1" x14ac:dyDescent="0.45">
      <c r="A2" s="161" t="s">
        <v>107</v>
      </c>
      <c r="B2" s="162"/>
      <c r="C2" s="196">
        <f>Inflation!C39/Inflation!C32</f>
        <v>1.2170000000000001</v>
      </c>
      <c r="D2" s="196">
        <f>Inflation!C39/Inflation!C35</f>
        <v>1.1491973559962227</v>
      </c>
      <c r="E2" s="196">
        <f>Inflation!C39/Inflation!C37</f>
        <v>1.1195952161913523</v>
      </c>
      <c r="F2" s="196">
        <f>Inflation!C39/Inflation!C38</f>
        <v>1.0905017921146953</v>
      </c>
      <c r="G2" s="162"/>
    </row>
    <row r="3" spans="1:8" ht="59" x14ac:dyDescent="0.45">
      <c r="A3" s="157" t="s">
        <v>20</v>
      </c>
      <c r="B3" s="2" t="s">
        <v>152</v>
      </c>
      <c r="C3" s="126"/>
      <c r="D3" s="126"/>
      <c r="E3" s="126">
        <v>569</v>
      </c>
      <c r="F3" s="126"/>
      <c r="G3" s="126">
        <f>SUMPRODUCT(C3:F3,$C$2:$F$2)</f>
        <v>637.04967801287944</v>
      </c>
    </row>
    <row r="4" spans="1:8" ht="62.5" customHeight="1" x14ac:dyDescent="0.45">
      <c r="A4" s="157" t="s">
        <v>19</v>
      </c>
      <c r="B4" s="127" t="s">
        <v>153</v>
      </c>
      <c r="C4" s="126"/>
      <c r="D4" s="126">
        <f>252+693</f>
        <v>945</v>
      </c>
      <c r="E4" s="126"/>
      <c r="F4" s="126"/>
      <c r="G4" s="126">
        <f t="shared" ref="G4:G10" si="0">SUMPRODUCT(C4:F4,$C$2:$F$2)</f>
        <v>1085.9915014164305</v>
      </c>
    </row>
    <row r="5" spans="1:8" ht="106" customHeight="1" x14ac:dyDescent="0.45">
      <c r="A5" s="157" t="s">
        <v>18</v>
      </c>
      <c r="B5" s="4" t="s">
        <v>154</v>
      </c>
      <c r="C5" s="126">
        <f>450.1*9</f>
        <v>4050.9</v>
      </c>
      <c r="D5" s="126"/>
      <c r="E5" s="126"/>
      <c r="F5" s="126"/>
      <c r="G5" s="126">
        <f t="shared" si="0"/>
        <v>4929.9453000000003</v>
      </c>
    </row>
    <row r="6" spans="1:8" ht="73.5" x14ac:dyDescent="0.45">
      <c r="A6" s="157" t="s">
        <v>17</v>
      </c>
      <c r="B6" s="2" t="s">
        <v>155</v>
      </c>
      <c r="C6" s="126"/>
      <c r="D6" s="126">
        <f>704+(5*(365*0.75)+936+2586)</f>
        <v>5594.75</v>
      </c>
      <c r="E6" s="126"/>
      <c r="F6" s="126"/>
      <c r="G6" s="126">
        <f t="shared" si="0"/>
        <v>6429.471907459867</v>
      </c>
    </row>
    <row r="7" spans="1:8" ht="175" customHeight="1" x14ac:dyDescent="0.45">
      <c r="A7" s="157" t="s">
        <v>47</v>
      </c>
      <c r="B7" s="2" t="s">
        <v>151</v>
      </c>
      <c r="C7" s="126"/>
      <c r="D7" s="126">
        <f>(1216*3)+241+629+4195</f>
        <v>8713</v>
      </c>
      <c r="E7" s="126">
        <f>661*52</f>
        <v>34372</v>
      </c>
      <c r="F7" s="126"/>
      <c r="G7" s="126">
        <f t="shared" si="0"/>
        <v>48495.68333372425</v>
      </c>
    </row>
    <row r="8" spans="1:8" ht="161.5" customHeight="1" x14ac:dyDescent="0.45">
      <c r="A8" s="157" t="s">
        <v>46</v>
      </c>
      <c r="B8" s="2" t="s">
        <v>143</v>
      </c>
      <c r="C8" s="126"/>
      <c r="D8" s="126">
        <f>(1216*2)+241+629</f>
        <v>3302</v>
      </c>
      <c r="E8" s="126">
        <f>E7</f>
        <v>34372</v>
      </c>
      <c r="F8" s="126"/>
      <c r="G8" s="126">
        <f t="shared" si="0"/>
        <v>42277.376440428692</v>
      </c>
    </row>
    <row r="9" spans="1:8" ht="74.5" customHeight="1" x14ac:dyDescent="0.45">
      <c r="A9" s="157" t="s">
        <v>141</v>
      </c>
      <c r="B9" s="4" t="s">
        <v>144</v>
      </c>
      <c r="C9" s="126"/>
      <c r="D9" s="126">
        <v>9500</v>
      </c>
      <c r="E9" s="126"/>
      <c r="F9" s="126"/>
      <c r="G9" s="126">
        <f t="shared" si="0"/>
        <v>10917.374881964117</v>
      </c>
      <c r="H9" s="2"/>
    </row>
    <row r="10" spans="1:8" ht="72.650000000000006" customHeight="1" x14ac:dyDescent="0.45">
      <c r="A10" s="157" t="s">
        <v>142</v>
      </c>
      <c r="B10" s="4" t="s">
        <v>144</v>
      </c>
      <c r="C10" s="126"/>
      <c r="D10" s="126">
        <v>4200</v>
      </c>
      <c r="E10" s="126"/>
      <c r="F10" s="126"/>
      <c r="G10" s="126">
        <f t="shared" si="0"/>
        <v>4826.6288951841352</v>
      </c>
      <c r="H10" s="2"/>
    </row>
    <row r="11" spans="1:8" x14ac:dyDescent="0.45"/>
  </sheetData>
  <sheetProtection algorithmName="SHA-512" hashValue="EkYqwOjWUCPRXKybXz3wdYp9iRWHR6RdqRv2Oi6wvsR5qWexbHh5ON1265ZLupMgXOCf6mbt1U4R7l/Qe+4gMQ==" saltValue="7wAmwdI9DHyYVZ67qyNlmw==" spinCount="100000" sheet="1" objects="1" scenarios="1"/>
  <phoneticPr fontId="19" type="noConversion"/>
  <pageMargins left="0.7" right="0.7" top="0.75" bottom="0.75" header="0.3" footer="0.3"/>
  <pageSetup paperSize="9" scale="6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9920-602C-4E67-9C07-B79BA038463D}">
  <sheetPr>
    <tabColor theme="0" tint="-0.499984740745262"/>
  </sheetPr>
  <dimension ref="A1:A21"/>
  <sheetViews>
    <sheetView topLeftCell="A2" zoomScale="110" zoomScaleNormal="110" workbookViewId="0">
      <selection activeCell="A22" sqref="A22:XFD22"/>
    </sheetView>
  </sheetViews>
  <sheetFormatPr defaultColWidth="0" defaultRowHeight="14.5" zeroHeight="1" x14ac:dyDescent="0.35"/>
  <cols>
    <col min="1" max="1" width="141.7265625" style="1" customWidth="1"/>
    <col min="2" max="16384" width="8.7265625" style="1" hidden="1"/>
  </cols>
  <sheetData>
    <row r="1" spans="1:1" ht="18.5" x14ac:dyDescent="0.45">
      <c r="A1" s="153" t="s">
        <v>131</v>
      </c>
    </row>
    <row r="2" spans="1:1" ht="16" x14ac:dyDescent="0.35">
      <c r="A2" s="291" t="s">
        <v>232</v>
      </c>
    </row>
    <row r="3" spans="1:1" x14ac:dyDescent="0.35">
      <c r="A3" s="292" t="s">
        <v>233</v>
      </c>
    </row>
    <row r="4" spans="1:1" x14ac:dyDescent="0.35">
      <c r="A4" s="292" t="s">
        <v>234</v>
      </c>
    </row>
    <row r="5" spans="1:1" x14ac:dyDescent="0.35">
      <c r="A5" s="292" t="s">
        <v>235</v>
      </c>
    </row>
    <row r="6" spans="1:1" x14ac:dyDescent="0.35">
      <c r="A6" s="292" t="s">
        <v>236</v>
      </c>
    </row>
    <row r="7" spans="1:1" x14ac:dyDescent="0.35">
      <c r="A7" s="292" t="s">
        <v>237</v>
      </c>
    </row>
    <row r="8" spans="1:1" x14ac:dyDescent="0.35">
      <c r="A8" s="292" t="s">
        <v>238</v>
      </c>
    </row>
    <row r="9" spans="1:1" ht="16" x14ac:dyDescent="0.35">
      <c r="A9" s="291" t="s">
        <v>239</v>
      </c>
    </row>
    <row r="10" spans="1:1" x14ac:dyDescent="0.35">
      <c r="A10" s="292" t="s">
        <v>240</v>
      </c>
    </row>
    <row r="11" spans="1:1" ht="14.5" customHeight="1" x14ac:dyDescent="0.35">
      <c r="A11" s="292" t="s">
        <v>241</v>
      </c>
    </row>
    <row r="12" spans="1:1" x14ac:dyDescent="0.35">
      <c r="A12" s="292" t="s">
        <v>242</v>
      </c>
    </row>
    <row r="13" spans="1:1" x14ac:dyDescent="0.35">
      <c r="A13" s="292" t="s">
        <v>243</v>
      </c>
    </row>
    <row r="14" spans="1:1" x14ac:dyDescent="0.35">
      <c r="A14" s="292" t="s">
        <v>244</v>
      </c>
    </row>
    <row r="15" spans="1:1" x14ac:dyDescent="0.35">
      <c r="A15" s="292" t="s">
        <v>245</v>
      </c>
    </row>
    <row r="16" spans="1:1" ht="16" x14ac:dyDescent="0.35">
      <c r="A16" s="291" t="s">
        <v>246</v>
      </c>
    </row>
    <row r="17" spans="1:1" customFormat="1" x14ac:dyDescent="0.35">
      <c r="A17" s="292" t="s">
        <v>247</v>
      </c>
    </row>
    <row r="18" spans="1:1" x14ac:dyDescent="0.35">
      <c r="A18" s="292" t="s">
        <v>248</v>
      </c>
    </row>
    <row r="19" spans="1:1" x14ac:dyDescent="0.35">
      <c r="A19" s="292" t="s">
        <v>249</v>
      </c>
    </row>
    <row r="20" spans="1:1" ht="16" x14ac:dyDescent="0.35">
      <c r="A20" s="291" t="s">
        <v>250</v>
      </c>
    </row>
    <row r="21" spans="1:1" ht="16" x14ac:dyDescent="0.35">
      <c r="A21" s="291" t="s">
        <v>251</v>
      </c>
    </row>
  </sheetData>
  <hyperlinks>
    <hyperlink ref="A3" r:id="rId1" display="https://guysandstthomasprivatehealthcare.co.uk/services/maternity/maternity-prices-packages/" xr:uid="{84E756C8-54B6-48C0-BE4F-978BB0D81E52}"/>
    <hyperlink ref="A4" r:id="rId2" display="https://assets.publishing.service.gov.uk/media/5b684f22e5274a14f45342c9/the-economic-and-social-costs-of-crime-horr99.pdf" xr:uid="{02B232C4-00B6-4560-ACEA-99EE62416BB5}"/>
    <hyperlink ref="A5" r:id="rId3" display="https://assets.publishing.service.gov.uk/media/5ffc26a3e90e0763a31280d1/Children_s_social_care_cost_pressures_and_variations_in_unit_costs_Jan_2021.pdf" xr:uid="{7A38C869-766A-402F-8105-8D869E051C16}"/>
    <hyperlink ref="A6" r:id="rId4" display="https://kar.kent.ac.uk/100519/1/Unit Costs of health and Social Care 2022 %28amended 13 July 2023%29.pdf" xr:uid="{7DDAB250-17AE-4556-9680-302919134B70}"/>
    <hyperlink ref="A7" r:id="rId5" display="https://kar.kent.ac.uk/92342/25/Unit Costs Report 2021 - Final version for publication %28AMENDED2%29.pdf" xr:uid="{74D6F51F-28BC-4A0B-ABFA-501905226E9E}"/>
    <hyperlink ref="A8" r:id="rId6" location=":~:text=The%20profession%20is%20taking%20on,%C2%A34.76%20billion%20each%20year" display="https://www.mmu.ac.uk/news-and-events/news/story/?id=13353 - :~:text=The%20profession%20is%20taking%20on,%C2%A34.76%20billion%20each%20year" xr:uid="{124848E5-75A8-4822-9DB6-945A105D1964}"/>
    <hyperlink ref="A10" r:id="rId7" display="https://www.mkuh.nhs.uk/maternity-services/your-pregnancy-journey/antenatal-care" xr:uid="{0AF58031-86F3-4CFE-A487-E3E30FB72286}"/>
    <hyperlink ref="A11" r:id="rId8" display="https://www.nice.org.uk/guidance/cg110" xr:uid="{B3934E8E-8322-4AA8-98FD-8536228F909B}"/>
    <hyperlink ref="A12" r:id="rId9" display="https://www.ons.gov.uk/peoplepopulationandcommunity/crimeandjustice/articles/domesticabuseprevalenceandtrendsenglandandwales/yearendingmarch2022" xr:uid="{A6205626-2B4B-4A41-ADB1-EBF37714AC08}"/>
    <hyperlink ref="A13" r:id="rId10" display="https://assets.publishing.service.gov.uk/media/5f637b8f8fa8f5106d15642a/horr107.pdf" xr:uid="{84FEDA6C-771C-47F2-97A2-B79D8FB4D73A}"/>
    <hyperlink ref="A14" r:id="rId11" display="https://www.crisis.org.uk/media/237022/costsofhomelessness_finalweb.pdf" xr:uid="{7D907D7E-093D-47EF-8797-3967DE5311C3}"/>
    <hyperlink ref="A15" r:id="rId12" display="https://bmjopen.bmj.com/content/10/10/e040022" xr:uid="{256142A7-76B9-439A-8DB7-684C030E4DFF}"/>
    <hyperlink ref="A17" r:id="rId13" display="https://www.londoncouncils.gov.uk/sites/default/files/LC final report - CA edit.pdf" xr:uid="{379EB77E-9084-4043-AF54-6C3CB107DFD4}"/>
    <hyperlink ref="A18" r:id="rId14" display="https://assets.ctfassets.net/6sxvmndnpn0s/5WnoAvsRkArF0mh2FGIMS1/8e671fbcf72e891d85daa26b37b46636/VFM_in_housing_options_and_homelessness_services_full_report_Oct_2010.pdf" xr:uid="{7DB09AC2-28F4-4E73-956B-88A669424FB7}"/>
    <hyperlink ref="A19" r:id="rId15" location=":~:text=For%20someone%20who%20attends%20an,costs%20start%20at%20%C2%A3418" display="https://www.kingsfund.org.uk/insight-and-analysis/data-and-charts/key-facts-figures-nhs - :~:text=For%20someone%20who%20attends%20an,costs%20start%20at%20%C2%A3418" xr:uid="{F4FEE8C5-7736-4434-BCEF-79B97BE84B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vt:lpstr>
      <vt:lpstr>Dashboard</vt:lpstr>
      <vt:lpstr>Calculation</vt:lpstr>
      <vt:lpstr>Health and Mental Health</vt:lpstr>
      <vt:lpstr>MARAC</vt:lpstr>
      <vt:lpstr>Housing</vt:lpstr>
      <vt:lpstr>Policing and Criminal Justice </vt:lpstr>
      <vt:lpstr>Children</vt:lpstr>
      <vt:lpstr>References </vt:lpstr>
      <vt:lpstr>Inflation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dc:creator>
  <cp:lastModifiedBy>Asmita Sood</cp:lastModifiedBy>
  <cp:lastPrinted>2023-10-16T16:28:52Z</cp:lastPrinted>
  <dcterms:created xsi:type="dcterms:W3CDTF">2023-05-16T14:38:56Z</dcterms:created>
  <dcterms:modified xsi:type="dcterms:W3CDTF">2024-04-22T14:37:59Z</dcterms:modified>
</cp:coreProperties>
</file>